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фінансування'!$A$1:$M$161</definedName>
  </definedNames>
  <calcPr fullCalcOnLoad="1"/>
</workbook>
</file>

<file path=xl/sharedStrings.xml><?xml version="1.0" encoding="utf-8"?>
<sst xmlns="http://schemas.openxmlformats.org/spreadsheetml/2006/main" count="166" uniqueCount="119">
  <si>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</si>
  <si>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</si>
  <si>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</si>
  <si>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</si>
  <si>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</si>
  <si>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</si>
  <si>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</si>
  <si>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</si>
  <si>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</si>
  <si>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</si>
  <si>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</si>
  <si>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</si>
  <si>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</si>
  <si>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</si>
  <si>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</si>
  <si>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</si>
  <si>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</si>
  <si>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</si>
  <si>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</si>
  <si>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</si>
  <si>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</si>
  <si>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</si>
  <si>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</si>
  <si>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</si>
  <si>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</si>
  <si>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</si>
  <si>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</si>
  <si>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</si>
  <si>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</si>
  <si>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</si>
  <si>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</si>
  <si>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</si>
  <si>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</si>
  <si>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</si>
  <si>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</si>
  <si>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</si>
  <si>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</si>
  <si>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</si>
  <si>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</si>
  <si>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</si>
  <si>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</si>
  <si>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</si>
  <si>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</si>
  <si>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</si>
  <si>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</si>
  <si>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</si>
  <si>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</si>
  <si>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</si>
  <si>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</si>
  <si>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</si>
  <si>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</si>
  <si>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</si>
  <si>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</si>
  <si>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</si>
  <si>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</si>
  <si>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</si>
  <si>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</si>
  <si>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</si>
  <si>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</si>
  <si>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</si>
  <si>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</si>
  <si>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</si>
  <si>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</si>
  <si>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</si>
  <si>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</si>
  <si>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</si>
  <si>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</si>
  <si>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</si>
  <si>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</si>
  <si>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</si>
  <si>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</si>
  <si>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</si>
  <si>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</si>
  <si>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</si>
  <si>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</si>
  <si>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</si>
  <si>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</si>
  <si>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</si>
  <si>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</si>
  <si>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</si>
  <si>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</si>
  <si>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</si>
  <si>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</si>
  <si>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</si>
  <si>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</si>
  <si>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</si>
  <si>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</si>
  <si>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</si>
  <si>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</si>
  <si>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</si>
  <si>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</si>
  <si>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</si>
  <si>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</si>
  <si>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</si>
  <si>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</si>
  <si>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</si>
  <si>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</si>
  <si>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</si>
  <si>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</si>
  <si>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</si>
  <si>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</si>
  <si>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</si>
  <si>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</si>
  <si>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</si>
  <si>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</si>
  <si>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</si>
  <si>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</si>
  <si>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</si>
  <si>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</si>
  <si>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</si>
  <si>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</si>
  <si>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Екологічний фонд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</si>
  <si>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</si>
  <si>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</si>
  <si>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</si>
  <si>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План на 5 місяців, тис.грн.</t>
  </si>
  <si>
    <t>Відсоток виконання плану 5 місяців</t>
  </si>
  <si>
    <t>Відхилення від плану 5 місяців, тис.грн.</t>
  </si>
  <si>
    <t>Аналіз використання коштів міського бюджету за 2015 рік станом на 18.05.2015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</si>
</sst>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48575.5</c:v>
                </c:pt>
                <c:pt idx="1">
                  <c:v>39638</c:v>
                </c:pt>
                <c:pt idx="2">
                  <c:v>2406.5</c:v>
                </c:pt>
                <c:pt idx="3">
                  <c:v>6531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15029.499999999996</c:v>
                </c:pt>
                <c:pt idx="1">
                  <c:v>12927.400000000001</c:v>
                </c:pt>
                <c:pt idx="2">
                  <c:v>533.6999999999999</c:v>
                </c:pt>
                <c:pt idx="3">
                  <c:v>1568.399999999995</c:v>
                </c:pt>
              </c:numCache>
            </c:numRef>
          </c:val>
          <c:shape val="box"/>
        </c:ser>
        <c:shape val="box"/>
        <c:axId val="64486900"/>
        <c:axId val="43511189"/>
      </c:bar3DChart>
      <c:catAx>
        <c:axId val="64486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511189"/>
        <c:crosses val="autoZero"/>
        <c:auto val="1"/>
        <c:lblOffset val="100"/>
        <c:tickLblSkip val="1"/>
        <c:noMultiLvlLbl val="0"/>
      </c:catAx>
      <c:valAx>
        <c:axId val="435111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869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337508.6</c:v>
                </c:pt>
                <c:pt idx="1">
                  <c:v>179936.4</c:v>
                </c:pt>
                <c:pt idx="2">
                  <c:v>251964.7</c:v>
                </c:pt>
                <c:pt idx="3">
                  <c:v>45.2</c:v>
                </c:pt>
                <c:pt idx="4">
                  <c:v>22109.6</c:v>
                </c:pt>
                <c:pt idx="5">
                  <c:v>59404.7</c:v>
                </c:pt>
                <c:pt idx="6">
                  <c:v>286.2</c:v>
                </c:pt>
                <c:pt idx="7">
                  <c:v>3698.1999999999725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105144.70000000001</c:v>
                </c:pt>
                <c:pt idx="1">
                  <c:v>48708.599999999984</c:v>
                </c:pt>
                <c:pt idx="2">
                  <c:v>76760.8</c:v>
                </c:pt>
                <c:pt idx="3">
                  <c:v>2</c:v>
                </c:pt>
                <c:pt idx="4">
                  <c:v>6384.4</c:v>
                </c:pt>
                <c:pt idx="5">
                  <c:v>20780.3</c:v>
                </c:pt>
                <c:pt idx="6">
                  <c:v>49</c:v>
                </c:pt>
                <c:pt idx="7">
                  <c:v>1168.200000000008</c:v>
                </c:pt>
              </c:numCache>
            </c:numRef>
          </c:val>
          <c:shape val="box"/>
        </c:ser>
        <c:shape val="box"/>
        <c:axId val="56056382"/>
        <c:axId val="34745391"/>
      </c:bar3DChart>
      <c:catAx>
        <c:axId val="56056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745391"/>
        <c:crosses val="autoZero"/>
        <c:auto val="1"/>
        <c:lblOffset val="100"/>
        <c:tickLblSkip val="1"/>
        <c:noMultiLvlLbl val="0"/>
      </c:catAx>
      <c:valAx>
        <c:axId val="347453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563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226168.90000000002</c:v>
                </c:pt>
                <c:pt idx="1">
                  <c:v>186519.2</c:v>
                </c:pt>
                <c:pt idx="2">
                  <c:v>169195.9</c:v>
                </c:pt>
                <c:pt idx="3">
                  <c:v>12491.1</c:v>
                </c:pt>
                <c:pt idx="4">
                  <c:v>3253.3</c:v>
                </c:pt>
                <c:pt idx="5">
                  <c:v>24676.2</c:v>
                </c:pt>
                <c:pt idx="6">
                  <c:v>1528.1</c:v>
                </c:pt>
                <c:pt idx="7">
                  <c:v>15024.300000000027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59278.5</c:v>
                </c:pt>
                <c:pt idx="1">
                  <c:v>56986.99999999999</c:v>
                </c:pt>
                <c:pt idx="2">
                  <c:v>45251.399999999994</c:v>
                </c:pt>
                <c:pt idx="3">
                  <c:v>2098.9999999999995</c:v>
                </c:pt>
                <c:pt idx="4">
                  <c:v>806.0000000000001</c:v>
                </c:pt>
                <c:pt idx="5">
                  <c:v>7335</c:v>
                </c:pt>
                <c:pt idx="6">
                  <c:v>415.79999999999995</c:v>
                </c:pt>
                <c:pt idx="7">
                  <c:v>3371.3000000000056</c:v>
                </c:pt>
              </c:numCache>
            </c:numRef>
          </c:val>
          <c:shape val="box"/>
        </c:ser>
        <c:shape val="box"/>
        <c:axId val="44273064"/>
        <c:axId val="62913257"/>
      </c:bar3DChart>
      <c:catAx>
        <c:axId val="44273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913257"/>
        <c:crosses val="autoZero"/>
        <c:auto val="1"/>
        <c:lblOffset val="100"/>
        <c:tickLblSkip val="1"/>
        <c:noMultiLvlLbl val="0"/>
      </c:catAx>
      <c:valAx>
        <c:axId val="629132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730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41995.799999999996</c:v>
                </c:pt>
                <c:pt idx="1">
                  <c:v>29626.4</c:v>
                </c:pt>
                <c:pt idx="2">
                  <c:v>2423.5</c:v>
                </c:pt>
                <c:pt idx="3">
                  <c:v>515.5</c:v>
                </c:pt>
                <c:pt idx="4">
                  <c:v>47.2</c:v>
                </c:pt>
                <c:pt idx="5">
                  <c:v>9383.199999999993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13705.3</c:v>
                </c:pt>
                <c:pt idx="1">
                  <c:v>9532.200000000003</c:v>
                </c:pt>
                <c:pt idx="2">
                  <c:v>1125.0000000000002</c:v>
                </c:pt>
                <c:pt idx="3">
                  <c:v>46.50000000000001</c:v>
                </c:pt>
                <c:pt idx="4">
                  <c:v>13.6</c:v>
                </c:pt>
                <c:pt idx="5">
                  <c:v>2987.999999999997</c:v>
                </c:pt>
              </c:numCache>
            </c:numRef>
          </c:val>
          <c:shape val="box"/>
        </c:ser>
        <c:shape val="box"/>
        <c:axId val="29348402"/>
        <c:axId val="62809027"/>
      </c:bar3DChart>
      <c:catAx>
        <c:axId val="29348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809027"/>
        <c:crosses val="autoZero"/>
        <c:auto val="1"/>
        <c:lblOffset val="100"/>
        <c:tickLblSkip val="1"/>
        <c:noMultiLvlLbl val="0"/>
      </c:catAx>
      <c:valAx>
        <c:axId val="628090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484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14207.7</c:v>
                </c:pt>
                <c:pt idx="1">
                  <c:v>8729.1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4379.7</c:v>
                </c:pt>
                <c:pt idx="1">
                  <c:v>2661.2999999999997</c:v>
                </c:pt>
                <c:pt idx="3">
                  <c:v>43.5</c:v>
                </c:pt>
                <c:pt idx="4">
                  <c:v>323.6</c:v>
                </c:pt>
                <c:pt idx="5">
                  <c:v>1351.3000000000002</c:v>
                </c:pt>
              </c:numCache>
            </c:numRef>
          </c:val>
          <c:shape val="box"/>
        </c:ser>
        <c:shape val="box"/>
        <c:axId val="28410332"/>
        <c:axId val="54366397"/>
      </c:bar3DChart>
      <c:catAx>
        <c:axId val="28410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366397"/>
        <c:crosses val="autoZero"/>
        <c:auto val="1"/>
        <c:lblOffset val="100"/>
        <c:tickLblSkip val="2"/>
        <c:noMultiLvlLbl val="0"/>
      </c:catAx>
      <c:valAx>
        <c:axId val="543663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103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5"/>
                <c:pt idx="0">
                  <c:v>5481</c:v>
                </c:pt>
                <c:pt idx="1">
                  <c:v>1426.1</c:v>
                </c:pt>
                <c:pt idx="2">
                  <c:v>420.8</c:v>
                </c:pt>
                <c:pt idx="3">
                  <c:v>3128.9</c:v>
                </c:pt>
                <c:pt idx="4">
                  <c:v>505.1999999999998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5"/>
                <c:pt idx="0">
                  <c:v>675.5999999999999</c:v>
                </c:pt>
                <c:pt idx="1">
                  <c:v>433.4</c:v>
                </c:pt>
                <c:pt idx="2">
                  <c:v>193</c:v>
                </c:pt>
                <c:pt idx="4">
                  <c:v>49.19999999999993</c:v>
                </c:pt>
              </c:numCache>
            </c:numRef>
          </c:val>
          <c:shape val="box"/>
        </c:ser>
        <c:shape val="box"/>
        <c:axId val="19535526"/>
        <c:axId val="41602007"/>
      </c:bar3DChart>
      <c:catAx>
        <c:axId val="19535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602007"/>
        <c:crosses val="autoZero"/>
        <c:auto val="1"/>
        <c:lblOffset val="100"/>
        <c:tickLblSkip val="1"/>
        <c:noMultiLvlLbl val="0"/>
      </c:catAx>
      <c:valAx>
        <c:axId val="416020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355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50538.3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19129.3</c:v>
                </c:pt>
              </c:numCache>
            </c:numRef>
          </c:val>
          <c:shape val="box"/>
        </c:ser>
        <c:shape val="box"/>
        <c:axId val="38873744"/>
        <c:axId val="14319377"/>
      </c:bar3DChart>
      <c:catAx>
        <c:axId val="38873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319377"/>
        <c:crosses val="autoZero"/>
        <c:auto val="1"/>
        <c:lblOffset val="100"/>
        <c:tickLblSkip val="1"/>
        <c:noMultiLvlLbl val="0"/>
      </c:catAx>
      <c:valAx>
        <c:axId val="143193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737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337508.6</c:v>
                </c:pt>
                <c:pt idx="1">
                  <c:v>226168.90000000002</c:v>
                </c:pt>
                <c:pt idx="2">
                  <c:v>41995.799999999996</c:v>
                </c:pt>
                <c:pt idx="3">
                  <c:v>14207.7</c:v>
                </c:pt>
                <c:pt idx="4">
                  <c:v>5481</c:v>
                </c:pt>
                <c:pt idx="5">
                  <c:v>48575.5</c:v>
                </c:pt>
                <c:pt idx="6">
                  <c:v>50538.3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105144.70000000001</c:v>
                </c:pt>
                <c:pt idx="1">
                  <c:v>59278.5</c:v>
                </c:pt>
                <c:pt idx="2">
                  <c:v>13705.3</c:v>
                </c:pt>
                <c:pt idx="3">
                  <c:v>4379.7</c:v>
                </c:pt>
                <c:pt idx="4">
                  <c:v>675.5999999999999</c:v>
                </c:pt>
                <c:pt idx="5">
                  <c:v>15029.499999999996</c:v>
                </c:pt>
                <c:pt idx="6">
                  <c:v>19129.3</c:v>
                </c:pt>
              </c:numCache>
            </c:numRef>
          </c:val>
          <c:shape val="box"/>
        </c:ser>
        <c:shape val="box"/>
        <c:axId val="61765530"/>
        <c:axId val="19018859"/>
      </c:bar3DChart>
      <c:catAx>
        <c:axId val="6176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018859"/>
        <c:crosses val="autoZero"/>
        <c:auto val="1"/>
        <c:lblOffset val="100"/>
        <c:tickLblSkip val="1"/>
        <c:noMultiLvlLbl val="0"/>
      </c:catAx>
      <c:valAx>
        <c:axId val="190188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655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фінансування'!$C$145:$C$150</c:f>
              <c:numCache>
                <c:ptCount val="6"/>
                <c:pt idx="0">
                  <c:v>507335.6</c:v>
                </c:pt>
                <c:pt idx="1">
                  <c:v>96348.4</c:v>
                </c:pt>
                <c:pt idx="2">
                  <c:v>25686.8</c:v>
                </c:pt>
                <c:pt idx="3">
                  <c:v>14596.9</c:v>
                </c:pt>
                <c:pt idx="4">
                  <c:v>12618.400000000001</c:v>
                </c:pt>
                <c:pt idx="5">
                  <c:v>239596.69999999995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фінансування'!$D$145:$D$150</c:f>
              <c:numCache>
                <c:ptCount val="6"/>
                <c:pt idx="0">
                  <c:v>149685.89999999997</c:v>
                </c:pt>
                <c:pt idx="1">
                  <c:v>32210.3</c:v>
                </c:pt>
                <c:pt idx="2">
                  <c:v>7249.7</c:v>
                </c:pt>
                <c:pt idx="3">
                  <c:v>1937.3999999999999</c:v>
                </c:pt>
                <c:pt idx="4">
                  <c:v>2101.2999999999997</c:v>
                </c:pt>
                <c:pt idx="5">
                  <c:v>76466.80000000006</c:v>
                </c:pt>
              </c:numCache>
            </c:numRef>
          </c:val>
          <c:shape val="box"/>
        </c:ser>
        <c:shape val="box"/>
        <c:axId val="36952004"/>
        <c:axId val="64132581"/>
      </c:bar3DChart>
      <c:catAx>
        <c:axId val="36952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132581"/>
        <c:crosses val="autoZero"/>
        <c:auto val="1"/>
        <c:lblOffset val="100"/>
        <c:tickLblSkip val="1"/>
        <c:noMultiLvlLbl val="0"/>
      </c:catAx>
      <c:valAx>
        <c:axId val="641325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520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118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50</v>
      </c>
      <c r="B3" s="138" t="s">
        <v>115</v>
      </c>
      <c r="C3" s="138" t="s">
        <v>104</v>
      </c>
      <c r="D3" s="138" t="s">
        <v>29</v>
      </c>
      <c r="E3" s="138" t="s">
        <v>28</v>
      </c>
      <c r="F3" s="138" t="s">
        <v>116</v>
      </c>
      <c r="G3" s="138" t="s">
        <v>105</v>
      </c>
      <c r="H3" s="138" t="s">
        <v>117</v>
      </c>
      <c r="I3" s="138" t="s">
        <v>106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34</v>
      </c>
      <c r="B6" s="52">
        <f>141831.9+2002.1+2274.6</f>
        <v>146108.6</v>
      </c>
      <c r="C6" s="53">
        <f>336144.8+1363.8+2002.1</f>
        <v>339510.69999999995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</f>
        <v>124016.8</v>
      </c>
      <c r="E6" s="3">
        <f>D6/D144*100</f>
        <v>38.15048141538801</v>
      </c>
      <c r="F6" s="3">
        <f>D6/B6*100</f>
        <v>84.87987702298153</v>
      </c>
      <c r="G6" s="3">
        <f aca="true" t="shared" si="0" ref="G6:G43">D6/C6*100</f>
        <v>36.528097641694366</v>
      </c>
      <c r="H6" s="3">
        <f>B6-D6</f>
        <v>22091.800000000003</v>
      </c>
      <c r="I6" s="3">
        <f aca="true" t="shared" si="1" ref="I6:I43">C6-D6</f>
        <v>215493.89999999997</v>
      </c>
    </row>
    <row r="7" spans="1:9" s="44" customFormat="1" ht="18.75">
      <c r="A7" s="118" t="s">
        <v>107</v>
      </c>
      <c r="B7" s="109">
        <v>66245.8</v>
      </c>
      <c r="C7" s="106">
        <v>173936.4</v>
      </c>
      <c r="D7" s="119">
        <f>17278.1+34.8+43.3+5046.6+1441.7+293+463.5+4876.3+308.3+631.3+5138.7+0.1+2292.2+271.4+1820.7+4384.3+517.1+3867.2+3165+1+5.9+6161.5+1598.7</f>
        <v>59640.69999999998</v>
      </c>
      <c r="E7" s="107">
        <f>D7/D6*100</f>
        <v>48.09082317879512</v>
      </c>
      <c r="F7" s="107">
        <f>D7/B7*100</f>
        <v>90.02940563779134</v>
      </c>
      <c r="G7" s="107">
        <f>D7/C7*100</f>
        <v>34.288797514493794</v>
      </c>
      <c r="H7" s="107">
        <f>B7-D7</f>
        <v>6605.10000000002</v>
      </c>
      <c r="I7" s="107">
        <f t="shared" si="1"/>
        <v>114295.70000000001</v>
      </c>
    </row>
    <row r="8" spans="1:9" ht="18">
      <c r="A8" s="29" t="s">
        <v>3</v>
      </c>
      <c r="B8" s="49">
        <f>104673.5-3513.7</f>
        <v>101159.8</v>
      </c>
      <c r="C8" s="50">
        <v>251964.7</v>
      </c>
      <c r="D8" s="51">
        <f>2656.8+4544.7+5310.3+304.5+4240.2+2115.7+0.5+13.7+8260.2+9928.8+1441.7+7980.3+10682.7+0.1+0.1+1665.8+5183.3+3109.4+5382+3940+3165+1+0.1+5.9+3224.2+3872.8</f>
        <v>87029.8</v>
      </c>
      <c r="E8" s="1">
        <f>D8/D6*100</f>
        <v>70.1758148895956</v>
      </c>
      <c r="F8" s="1">
        <f>D8/B8*100</f>
        <v>86.03200085409422</v>
      </c>
      <c r="G8" s="1">
        <f t="shared" si="0"/>
        <v>34.54047332820828</v>
      </c>
      <c r="H8" s="1">
        <f>B8-D8</f>
        <v>14130</v>
      </c>
      <c r="I8" s="1">
        <f t="shared" si="1"/>
        <v>164934.90000000002</v>
      </c>
    </row>
    <row r="9" spans="1:9" ht="18">
      <c r="A9" s="29" t="s">
        <v>2</v>
      </c>
      <c r="B9" s="49">
        <f>25.2-16</f>
        <v>9.2</v>
      </c>
      <c r="C9" s="50">
        <v>45.2</v>
      </c>
      <c r="D9" s="51">
        <f>0.3+0.2+0.7+0.8</f>
        <v>2</v>
      </c>
      <c r="E9" s="12">
        <f>D9/D6*100</f>
        <v>0.0016126847330361692</v>
      </c>
      <c r="F9" s="136">
        <f>D9/B9*100</f>
        <v>21.73913043478261</v>
      </c>
      <c r="G9" s="1">
        <f t="shared" si="0"/>
        <v>4.424778761061947</v>
      </c>
      <c r="H9" s="1">
        <f aca="true" t="shared" si="2" ref="H9:H43">B9-D9</f>
        <v>7.199999999999999</v>
      </c>
      <c r="I9" s="1">
        <f t="shared" si="1"/>
        <v>43.2</v>
      </c>
    </row>
    <row r="10" spans="1:9" ht="18">
      <c r="A10" s="29" t="s">
        <v>1</v>
      </c>
      <c r="B10" s="49">
        <f>9395.7-388</f>
        <v>9007.7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</f>
        <v>7143.9</v>
      </c>
      <c r="E10" s="1">
        <f>D10/D6*100</f>
        <v>5.760429232168544</v>
      </c>
      <c r="F10" s="1">
        <f aca="true" t="shared" si="3" ref="F10:F41">D10/B10*100</f>
        <v>79.3088135706118</v>
      </c>
      <c r="G10" s="1">
        <f t="shared" si="0"/>
        <v>32.31130368708615</v>
      </c>
      <c r="H10" s="1">
        <f t="shared" si="2"/>
        <v>1863.800000000001</v>
      </c>
      <c r="I10" s="1">
        <f t="shared" si="1"/>
        <v>14965.699999999999</v>
      </c>
    </row>
    <row r="11" spans="1:9" ht="18">
      <c r="A11" s="29" t="s">
        <v>0</v>
      </c>
      <c r="B11" s="49">
        <f>25378.2+611+2001.2+2274.6+3513.7</f>
        <v>33778.7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</f>
        <v>28569.3</v>
      </c>
      <c r="E11" s="1">
        <f>D11/D6*100</f>
        <v>23.036636971765116</v>
      </c>
      <c r="F11" s="1">
        <f t="shared" si="3"/>
        <v>84.57785527566189</v>
      </c>
      <c r="G11" s="1">
        <f t="shared" si="0"/>
        <v>46.52533388485472</v>
      </c>
      <c r="H11" s="1">
        <f t="shared" si="2"/>
        <v>5209.399999999998</v>
      </c>
      <c r="I11" s="1">
        <f t="shared" si="1"/>
        <v>32836.59999999999</v>
      </c>
    </row>
    <row r="12" spans="1:9" ht="18">
      <c r="A12" s="29" t="s">
        <v>15</v>
      </c>
      <c r="B12" s="49">
        <v>197.6</v>
      </c>
      <c r="C12" s="50">
        <v>286.2</v>
      </c>
      <c r="D12" s="51">
        <f>3.8+3.8+12.7+7.4+5+16.3+3.8</f>
        <v>52.8</v>
      </c>
      <c r="E12" s="1">
        <f>D12/D6*100</f>
        <v>0.042574876952154866</v>
      </c>
      <c r="F12" s="1">
        <f t="shared" si="3"/>
        <v>26.72064777327935</v>
      </c>
      <c r="G12" s="1">
        <f t="shared" si="0"/>
        <v>18.448637316561843</v>
      </c>
      <c r="H12" s="1">
        <f t="shared" si="2"/>
        <v>144.8</v>
      </c>
      <c r="I12" s="1">
        <f t="shared" si="1"/>
        <v>233.39999999999998</v>
      </c>
    </row>
    <row r="13" spans="1:9" ht="18.75" thickBot="1">
      <c r="A13" s="29" t="s">
        <v>35</v>
      </c>
      <c r="B13" s="50">
        <f>B6-B8-B9-B10-B11-B12</f>
        <v>1955.6000000000117</v>
      </c>
      <c r="C13" s="50">
        <f>C6-C8-C9-C10-C11-C12</f>
        <v>3699.099999999952</v>
      </c>
      <c r="D13" s="50">
        <f>D6-D8-D9-D10-D11-D12</f>
        <v>1218.9999999999993</v>
      </c>
      <c r="E13" s="1">
        <f>D13/D6*100</f>
        <v>0.9829313447855447</v>
      </c>
      <c r="F13" s="1">
        <f t="shared" si="3"/>
        <v>62.333810595213336</v>
      </c>
      <c r="G13" s="1">
        <f t="shared" si="0"/>
        <v>32.953961774486096</v>
      </c>
      <c r="H13" s="1">
        <f t="shared" si="2"/>
        <v>736.6000000000124</v>
      </c>
      <c r="I13" s="1">
        <f t="shared" si="1"/>
        <v>2480.099999999953</v>
      </c>
    </row>
    <row r="14" spans="1:9" s="44" customFormat="1" ht="18.75" customHeight="1" hidden="1">
      <c r="A14" s="108" t="s">
        <v>82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79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80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81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f>80886.4+5039.9</f>
        <v>85926.29999999999</v>
      </c>
      <c r="C18" s="53">
        <f>225678.2+490.7+518</f>
        <v>226686.90000000002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</f>
        <v>76635.7</v>
      </c>
      <c r="E18" s="3">
        <f>D18/D144*100</f>
        <v>23.57494185146892</v>
      </c>
      <c r="F18" s="3">
        <f>D18/B18*100</f>
        <v>89.18771086384496</v>
      </c>
      <c r="G18" s="3">
        <f t="shared" si="0"/>
        <v>33.80684988854671</v>
      </c>
      <c r="H18" s="3">
        <f>B18-D18</f>
        <v>9290.599999999991</v>
      </c>
      <c r="I18" s="3">
        <f t="shared" si="1"/>
        <v>150051.2</v>
      </c>
    </row>
    <row r="19" spans="1:9" s="44" customFormat="1" ht="18.75">
      <c r="A19" s="118" t="s">
        <v>108</v>
      </c>
      <c r="B19" s="109">
        <v>77711.5</v>
      </c>
      <c r="C19" s="106">
        <v>186519.2</v>
      </c>
      <c r="D19" s="119">
        <f>20724.4+1058.1+4.5+4107.3+4273.5+909.7+5187.7+0.2+1026+1411.4+1.1+2729.9+0.1+4996.6+194.4+3533.4+1472.3+168.5+4832.7+355.2+3934.8+898.3+346.7+1.4+2032.6+5166.1+215.6</f>
        <v>69582.5</v>
      </c>
      <c r="E19" s="107">
        <f>D19/D18*100</f>
        <v>90.79645648177025</v>
      </c>
      <c r="F19" s="107">
        <f t="shared" si="3"/>
        <v>89.53951474363511</v>
      </c>
      <c r="G19" s="107">
        <f t="shared" si="0"/>
        <v>37.305810876306566</v>
      </c>
      <c r="H19" s="107">
        <f t="shared" si="2"/>
        <v>8129</v>
      </c>
      <c r="I19" s="107">
        <f t="shared" si="1"/>
        <v>116936.70000000001</v>
      </c>
    </row>
    <row r="20" spans="1:9" ht="18">
      <c r="A20" s="29" t="s">
        <v>5</v>
      </c>
      <c r="B20" s="49">
        <f>61827.2+4252.4-742</f>
        <v>65337.59999999999</v>
      </c>
      <c r="C20" s="50">
        <v>169195.9</v>
      </c>
      <c r="D20" s="51">
        <f>5164.3+574.5+4352.6-225.6+2461.2+632.3+5026.9+4104.6-0.1+3875.3+3989.4+855.4+280+4996.6+192.6+3533.4+437.2+168.1+4832.7+3683.6+898.2+0.2+194.2+4521.6+32.7+5166.1</f>
        <v>59747.99999999998</v>
      </c>
      <c r="E20" s="1">
        <f>D20/D18*100</f>
        <v>77.9636644540338</v>
      </c>
      <c r="F20" s="1">
        <f t="shared" si="3"/>
        <v>91.44504848662942</v>
      </c>
      <c r="G20" s="1">
        <f t="shared" si="0"/>
        <v>35.31291242872906</v>
      </c>
      <c r="H20" s="1">
        <f t="shared" si="2"/>
        <v>5589.600000000013</v>
      </c>
      <c r="I20" s="1">
        <f t="shared" si="1"/>
        <v>109447.90000000002</v>
      </c>
    </row>
    <row r="21" spans="1:9" ht="18">
      <c r="A21" s="29" t="s">
        <v>2</v>
      </c>
      <c r="B21" s="49">
        <v>3749.6</v>
      </c>
      <c r="C21" s="50">
        <v>12491.1</v>
      </c>
      <c r="D21" s="51">
        <f>11+1.8+42.7+3+47.6+40.1+0.7+2.5+101.4-0.1+82.5+53+0.2+1536.8+83.2+0.7+12.8+1.8+77.1+0.2+37.6+299.6</f>
        <v>2436.1999999999994</v>
      </c>
      <c r="E21" s="1">
        <f>D21/D18*100</f>
        <v>3.1789361877036413</v>
      </c>
      <c r="F21" s="1">
        <f t="shared" si="3"/>
        <v>64.97226370812885</v>
      </c>
      <c r="G21" s="1">
        <f t="shared" si="0"/>
        <v>19.503486482375447</v>
      </c>
      <c r="H21" s="1">
        <f t="shared" si="2"/>
        <v>1313.4000000000005</v>
      </c>
      <c r="I21" s="1">
        <f t="shared" si="1"/>
        <v>10054.900000000001</v>
      </c>
    </row>
    <row r="22" spans="1:9" ht="18">
      <c r="A22" s="29" t="s">
        <v>1</v>
      </c>
      <c r="B22" s="49">
        <v>1318.8</v>
      </c>
      <c r="C22" s="50">
        <v>3253.3</v>
      </c>
      <c r="D22" s="51">
        <f>173.9+19+7.6+19.5+89.8+0.1+92.4+48.6+202.1+56.1+96.9+242.1</f>
        <v>1048.1000000000001</v>
      </c>
      <c r="E22" s="1">
        <f>D22/D18*100</f>
        <v>1.3676393638995927</v>
      </c>
      <c r="F22" s="1">
        <f t="shared" si="3"/>
        <v>79.47376402790417</v>
      </c>
      <c r="G22" s="1">
        <f t="shared" si="0"/>
        <v>32.216518611871024</v>
      </c>
      <c r="H22" s="1">
        <f t="shared" si="2"/>
        <v>270.6999999999998</v>
      </c>
      <c r="I22" s="1">
        <f t="shared" si="1"/>
        <v>2205.2</v>
      </c>
    </row>
    <row r="23" spans="1:9" ht="18">
      <c r="A23" s="29" t="s">
        <v>0</v>
      </c>
      <c r="B23" s="49">
        <f>8307.1+518+742</f>
        <v>9567.1</v>
      </c>
      <c r="C23" s="50">
        <f>24676.2+518</f>
        <v>25194.2</v>
      </c>
      <c r="D23" s="51">
        <f>96.9+173.9+611.9+463.4+109.9+698.9+114.7+0.2+702.4+1027.2+819.6+1945.5+240.6+329.9+0.1+104.4+1287.1+2.2+0.5</f>
        <v>8729.300000000001</v>
      </c>
      <c r="E23" s="1">
        <f>D23/D18*100</f>
        <v>11.390644308070524</v>
      </c>
      <c r="F23" s="1">
        <f t="shared" si="3"/>
        <v>91.2429053736242</v>
      </c>
      <c r="G23" s="1">
        <f t="shared" si="0"/>
        <v>34.64805391717142</v>
      </c>
      <c r="H23" s="1">
        <f t="shared" si="2"/>
        <v>837.7999999999993</v>
      </c>
      <c r="I23" s="1">
        <f t="shared" si="1"/>
        <v>16464.9</v>
      </c>
    </row>
    <row r="24" spans="1:9" ht="18">
      <c r="A24" s="29" t="s">
        <v>15</v>
      </c>
      <c r="B24" s="49">
        <v>583.1</v>
      </c>
      <c r="C24" s="50">
        <v>1528.1</v>
      </c>
      <c r="D24" s="51">
        <f>111+58.1+166.1+55.7+24.9+10.1-0.1+89.8</f>
        <v>515.5999999999999</v>
      </c>
      <c r="E24" s="1">
        <f>D24/D18*100</f>
        <v>0.6727934891962883</v>
      </c>
      <c r="F24" s="1">
        <f t="shared" si="3"/>
        <v>88.4239410049734</v>
      </c>
      <c r="G24" s="1">
        <f t="shared" si="0"/>
        <v>33.741247300569334</v>
      </c>
      <c r="H24" s="1">
        <f t="shared" si="2"/>
        <v>67.50000000000011</v>
      </c>
      <c r="I24" s="1">
        <f t="shared" si="1"/>
        <v>1012.5</v>
      </c>
    </row>
    <row r="25" spans="1:9" ht="18.75" thickBot="1">
      <c r="A25" s="29" t="s">
        <v>35</v>
      </c>
      <c r="B25" s="50">
        <f>B18-B20-B21-B22-B23-B24</f>
        <v>5370.0999999999985</v>
      </c>
      <c r="C25" s="50">
        <f>C18-C20-C21-C22-C23-C24</f>
        <v>15024.300000000027</v>
      </c>
      <c r="D25" s="50">
        <f>D18-D20-D21-D22-D23-D24</f>
        <v>4158.500000000018</v>
      </c>
      <c r="E25" s="1">
        <f>D25/D18*100</f>
        <v>5.426322197096155</v>
      </c>
      <c r="F25" s="1">
        <f t="shared" si="3"/>
        <v>77.43803653563285</v>
      </c>
      <c r="G25" s="1">
        <f t="shared" si="0"/>
        <v>27.67849417277351</v>
      </c>
      <c r="H25" s="1">
        <f t="shared" si="2"/>
        <v>1211.5999999999804</v>
      </c>
      <c r="I25" s="1">
        <f t="shared" si="1"/>
        <v>10865.800000000008</v>
      </c>
    </row>
    <row r="26" spans="1:9" ht="57" hidden="1" thickBot="1">
      <c r="A26" s="108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18004.2-7.3+250.5</f>
        <v>18247.4</v>
      </c>
      <c r="C33" s="53">
        <f>41831.7+164.1+250.5</f>
        <v>42246.299999999996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</f>
        <v>15547.899999999996</v>
      </c>
      <c r="E33" s="3">
        <f>D33/D144*100</f>
        <v>4.782899332979976</v>
      </c>
      <c r="F33" s="3">
        <f>D33/B33*100</f>
        <v>85.20611155561886</v>
      </c>
      <c r="G33" s="3">
        <f t="shared" si="0"/>
        <v>36.80298629702482</v>
      </c>
      <c r="H33" s="3">
        <f t="shared" si="2"/>
        <v>2699.5000000000055</v>
      </c>
      <c r="I33" s="3">
        <f t="shared" si="1"/>
        <v>26698.4</v>
      </c>
    </row>
    <row r="34" spans="1:9" ht="18">
      <c r="A34" s="29" t="s">
        <v>3</v>
      </c>
      <c r="B34" s="49">
        <v>12129.5</v>
      </c>
      <c r="C34" s="50">
        <v>29626.4</v>
      </c>
      <c r="D34" s="51">
        <f>1216.2+1064.6-0.1+1185.2+1240.8+0.1+1202.8+1206.8+1191.1+1224.7+5.8+1196.2</f>
        <v>10734.200000000003</v>
      </c>
      <c r="E34" s="1">
        <f>D34/D33*100</f>
        <v>69.03954874934882</v>
      </c>
      <c r="F34" s="1">
        <f t="shared" si="3"/>
        <v>88.49664042211141</v>
      </c>
      <c r="G34" s="1">
        <f t="shared" si="0"/>
        <v>36.231874274295905</v>
      </c>
      <c r="H34" s="1">
        <f t="shared" si="2"/>
        <v>1395.2999999999975</v>
      </c>
      <c r="I34" s="1">
        <f t="shared" si="1"/>
        <v>18892.199999999997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f>1390.7+250.5</f>
        <v>1641.2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</f>
        <v>1202.8000000000002</v>
      </c>
      <c r="E36" s="1">
        <f>D36/D33*100</f>
        <v>7.736092977186633</v>
      </c>
      <c r="F36" s="1">
        <f t="shared" si="3"/>
        <v>73.28783816719474</v>
      </c>
      <c r="G36" s="1">
        <f t="shared" si="0"/>
        <v>44.981301421092</v>
      </c>
      <c r="H36" s="1">
        <f t="shared" si="2"/>
        <v>438.39999999999986</v>
      </c>
      <c r="I36" s="1">
        <f t="shared" si="1"/>
        <v>1471.1999999999998</v>
      </c>
    </row>
    <row r="37" spans="1:9" s="44" customFormat="1" ht="18.75">
      <c r="A37" s="23" t="s">
        <v>7</v>
      </c>
      <c r="B37" s="58">
        <v>226.5</v>
      </c>
      <c r="C37" s="59">
        <f>493.5+22</f>
        <v>515.5</v>
      </c>
      <c r="D37" s="60">
        <f>19+12.3+0.1+11.9+3.2+10.7+22.4+14.8</f>
        <v>94.39999999999999</v>
      </c>
      <c r="E37" s="19">
        <f>D37/D33*100</f>
        <v>0.6071559503212653</v>
      </c>
      <c r="F37" s="19">
        <f t="shared" si="3"/>
        <v>41.677704194260485</v>
      </c>
      <c r="G37" s="19">
        <f t="shared" si="0"/>
        <v>18.312318137730358</v>
      </c>
      <c r="H37" s="19">
        <f t="shared" si="2"/>
        <v>132.10000000000002</v>
      </c>
      <c r="I37" s="19">
        <f t="shared" si="1"/>
        <v>421.1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</f>
        <v>13.6</v>
      </c>
      <c r="E38" s="1">
        <f>D38/D33*100</f>
        <v>0.08747161996153824</v>
      </c>
      <c r="F38" s="1">
        <f t="shared" si="3"/>
        <v>36.75675675675675</v>
      </c>
      <c r="G38" s="1">
        <f t="shared" si="0"/>
        <v>28.813559322033893</v>
      </c>
      <c r="H38" s="1">
        <f t="shared" si="2"/>
        <v>23.4</v>
      </c>
      <c r="I38" s="1">
        <f t="shared" si="1"/>
        <v>33.6</v>
      </c>
    </row>
    <row r="39" spans="1:9" ht="18.75" thickBot="1">
      <c r="A39" s="29" t="s">
        <v>35</v>
      </c>
      <c r="B39" s="49">
        <f>B33-B34-B36-B37-B35-B38</f>
        <v>4213.200000000002</v>
      </c>
      <c r="C39" s="49">
        <f>C33-C34-C36-C37-C35-C38</f>
        <v>9383.199999999993</v>
      </c>
      <c r="D39" s="49">
        <f>D33-D34-D36-D37-D35-D38</f>
        <v>3502.8999999999933</v>
      </c>
      <c r="E39" s="1">
        <f>D39/D33*100</f>
        <v>22.529730703181745</v>
      </c>
      <c r="F39" s="1">
        <f t="shared" si="3"/>
        <v>83.14108041393696</v>
      </c>
      <c r="G39" s="1">
        <f t="shared" si="0"/>
        <v>37.33161394833315</v>
      </c>
      <c r="H39" s="1">
        <f>B39-D39</f>
        <v>710.3000000000084</v>
      </c>
      <c r="I39" s="1">
        <f t="shared" si="1"/>
        <v>5880.3</v>
      </c>
    </row>
    <row r="40" spans="1:9" ht="19.5" hidden="1" thickBot="1">
      <c r="A40" s="108" t="s">
        <v>87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88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89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f>349.4+15</f>
        <v>364.4</v>
      </c>
      <c r="C43" s="53">
        <f>768.4+32.5+15</f>
        <v>815.9</v>
      </c>
      <c r="D43" s="54">
        <f>17.7+12.2+11.2+51.1+0.8+30+0.1+18.9+27.3+43.7+9+5.4</f>
        <v>227.4</v>
      </c>
      <c r="E43" s="3">
        <f>D43/D144*100</f>
        <v>0.0699535826908873</v>
      </c>
      <c r="F43" s="3">
        <f>D43/B43*100</f>
        <v>62.403951701427005</v>
      </c>
      <c r="G43" s="3">
        <f t="shared" si="0"/>
        <v>27.87106263022429</v>
      </c>
      <c r="H43" s="3">
        <f t="shared" si="2"/>
        <v>136.99999999999997</v>
      </c>
      <c r="I43" s="3">
        <f t="shared" si="1"/>
        <v>588.5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v>2803.7</v>
      </c>
      <c r="C45" s="53">
        <f>6659.3+87.1</f>
        <v>6746.400000000001</v>
      </c>
      <c r="D45" s="54">
        <f>193+223+8.7+101.1+200.9+9+241+299.2+7.6+43.6+283.1+0.8+48.7+276.1+3.4+2.2+253.5+5+282+1.9</f>
        <v>2483.7999999999997</v>
      </c>
      <c r="E45" s="3">
        <f>D45/D144*100</f>
        <v>0.7640752360933416</v>
      </c>
      <c r="F45" s="3">
        <f>D45/B45*100</f>
        <v>88.59007739772443</v>
      </c>
      <c r="G45" s="3">
        <f aca="true" t="shared" si="4" ref="G45:G75">D45/C45*100</f>
        <v>36.81667259575477</v>
      </c>
      <c r="H45" s="3">
        <f>B45-D45</f>
        <v>319.9000000000001</v>
      </c>
      <c r="I45" s="3">
        <f aca="true" t="shared" si="5" ref="I45:I76">C45-D45</f>
        <v>4262.6</v>
      </c>
    </row>
    <row r="46" spans="1:9" ht="18">
      <c r="A46" s="29" t="s">
        <v>3</v>
      </c>
      <c r="B46" s="49">
        <v>2273.5</v>
      </c>
      <c r="C46" s="50">
        <v>5755.9</v>
      </c>
      <c r="D46" s="51">
        <f>193+222.7+1.6+196.4+240.9+0.1+199.7+265.9+214+253.1+238.6</f>
        <v>2026</v>
      </c>
      <c r="E46" s="1">
        <f>D46/D45*100</f>
        <v>81.56856429664225</v>
      </c>
      <c r="F46" s="1">
        <f aca="true" t="shared" si="6" ref="F46:F73">D46/B46*100</f>
        <v>89.11370134154387</v>
      </c>
      <c r="G46" s="1">
        <f t="shared" si="4"/>
        <v>35.19866571691656</v>
      </c>
      <c r="H46" s="1">
        <f aca="true" t="shared" si="7" ref="H46:H73">B46-D46</f>
        <v>247.5</v>
      </c>
      <c r="I46" s="1">
        <f t="shared" si="5"/>
        <v>3729.8999999999996</v>
      </c>
    </row>
    <row r="47" spans="1:9" ht="18">
      <c r="A47" s="29" t="s">
        <v>2</v>
      </c>
      <c r="B47" s="49">
        <v>0.3</v>
      </c>
      <c r="C47" s="50">
        <v>1.2</v>
      </c>
      <c r="D47" s="51">
        <f>0.3</f>
        <v>0.3</v>
      </c>
      <c r="E47" s="1">
        <f>D47/D45*100</f>
        <v>0.012078267171269828</v>
      </c>
      <c r="F47" s="1">
        <f t="shared" si="6"/>
        <v>100</v>
      </c>
      <c r="G47" s="1">
        <f t="shared" si="4"/>
        <v>25</v>
      </c>
      <c r="H47" s="1">
        <f t="shared" si="7"/>
        <v>0</v>
      </c>
      <c r="I47" s="1">
        <f t="shared" si="5"/>
        <v>0.8999999999999999</v>
      </c>
    </row>
    <row r="48" spans="1:9" ht="18">
      <c r="A48" s="29" t="s">
        <v>1</v>
      </c>
      <c r="B48" s="49">
        <v>25.2</v>
      </c>
      <c r="C48" s="50">
        <v>60.2</v>
      </c>
      <c r="D48" s="51">
        <f>3.8+1+5.7-0.1+1.3+4.1-0.1+4.6+1.1</f>
        <v>21.400000000000002</v>
      </c>
      <c r="E48" s="1">
        <f>D48/D45*100</f>
        <v>0.861583058217248</v>
      </c>
      <c r="F48" s="1">
        <f t="shared" si="6"/>
        <v>84.92063492063492</v>
      </c>
      <c r="G48" s="1">
        <f t="shared" si="4"/>
        <v>35.548172757475086</v>
      </c>
      <c r="H48" s="1">
        <f t="shared" si="7"/>
        <v>3.799999999999997</v>
      </c>
      <c r="I48" s="1">
        <f t="shared" si="5"/>
        <v>38.8</v>
      </c>
    </row>
    <row r="49" spans="1:9" ht="18">
      <c r="A49" s="29" t="s">
        <v>0</v>
      </c>
      <c r="B49" s="49">
        <v>314.6</v>
      </c>
      <c r="C49" s="50">
        <v>538.3</v>
      </c>
      <c r="D49" s="51">
        <f>4.7+90.3+4.8+67.1+3.1+1.1+45.6+36.3+2.7+2+0.1+34.4</f>
        <v>292.19999999999993</v>
      </c>
      <c r="E49" s="1">
        <f>D49/D45*100</f>
        <v>11.764232224816812</v>
      </c>
      <c r="F49" s="1">
        <f t="shared" si="6"/>
        <v>92.87984742530195</v>
      </c>
      <c r="G49" s="1">
        <f t="shared" si="4"/>
        <v>54.28199888537989</v>
      </c>
      <c r="H49" s="1">
        <f t="shared" si="7"/>
        <v>22.40000000000009</v>
      </c>
      <c r="I49" s="1">
        <f t="shared" si="5"/>
        <v>246.10000000000002</v>
      </c>
    </row>
    <row r="50" spans="1:9" ht="18.75" thickBot="1">
      <c r="A50" s="29" t="s">
        <v>35</v>
      </c>
      <c r="B50" s="50">
        <f>B45-B46-B49-B48-B47</f>
        <v>190.0999999999998</v>
      </c>
      <c r="C50" s="50">
        <f>C45-C46-C49-C48-C47</f>
        <v>390.800000000001</v>
      </c>
      <c r="D50" s="50">
        <f>D45-D46-D49-D48-D47</f>
        <v>143.89999999999978</v>
      </c>
      <c r="E50" s="1">
        <f>D50/D45*100</f>
        <v>5.793542153152419</v>
      </c>
      <c r="F50" s="1">
        <f t="shared" si="6"/>
        <v>75.69700157811674</v>
      </c>
      <c r="G50" s="1">
        <f t="shared" si="4"/>
        <v>36.821903787103224</v>
      </c>
      <c r="H50" s="1">
        <f t="shared" si="7"/>
        <v>46.20000000000002</v>
      </c>
      <c r="I50" s="1">
        <f t="shared" si="5"/>
        <v>246.9000000000012</v>
      </c>
    </row>
    <row r="51" spans="1:9" ht="18.75" thickBot="1">
      <c r="A51" s="28" t="s">
        <v>4</v>
      </c>
      <c r="B51" s="52">
        <v>6407.9</v>
      </c>
      <c r="C51" s="53">
        <f>13881+326.7</f>
        <v>14207.7</v>
      </c>
      <c r="D51" s="54">
        <f>260.4+84.2+35.2+27.7+429.5+47.7+9.2+7.6+47.3+0.3+0.2+338.5+6.8+0.3+85+62.8+1.5+472.7+38.5+0.1+49.4+117.6+311.3+37+71.4+15+489.6+106.2+9.7+10.3+4.5+1.3+36.2+1.3+0.1+7.8+422+397.2+336.3+9+7.3+340.2+125.4</f>
        <v>4861.599999999999</v>
      </c>
      <c r="E51" s="3">
        <f>D51/D144*100</f>
        <v>1.4955423817502977</v>
      </c>
      <c r="F51" s="3">
        <f>D51/B51*100</f>
        <v>75.8688493890354</v>
      </c>
      <c r="G51" s="3">
        <f t="shared" si="4"/>
        <v>34.218064852157625</v>
      </c>
      <c r="H51" s="3">
        <f>B51-D51</f>
        <v>1546.3000000000002</v>
      </c>
      <c r="I51" s="3">
        <f t="shared" si="5"/>
        <v>9346.100000000002</v>
      </c>
    </row>
    <row r="52" spans="1:9" ht="18">
      <c r="A52" s="29" t="s">
        <v>3</v>
      </c>
      <c r="B52" s="49">
        <v>3596.2</v>
      </c>
      <c r="C52" s="50">
        <v>8729.1</v>
      </c>
      <c r="D52" s="51">
        <f>260.4+390.2+0.1+271.7+395.7-0.1+282.9+391.4+0.1+7.8+263.9+397.2+272.6</f>
        <v>2933.8999999999996</v>
      </c>
      <c r="E52" s="1">
        <f>D52/D51*100</f>
        <v>60.34844495639295</v>
      </c>
      <c r="F52" s="1">
        <f t="shared" si="6"/>
        <v>81.58333796785496</v>
      </c>
      <c r="G52" s="1">
        <f t="shared" si="4"/>
        <v>33.610566954210626</v>
      </c>
      <c r="H52" s="1">
        <f t="shared" si="7"/>
        <v>662.3000000000002</v>
      </c>
      <c r="I52" s="1">
        <f t="shared" si="5"/>
        <v>5795.200000000001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6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114.7</v>
      </c>
      <c r="C54" s="50">
        <f>189.7+74</f>
        <v>263.7</v>
      </c>
      <c r="D54" s="51">
        <f>1.7+1.5+4.6+9.7+8-0.1+0.1+5.9+12.1+0.1+17.6</f>
        <v>61.2</v>
      </c>
      <c r="E54" s="1">
        <f>D54/D51*100</f>
        <v>1.258844824749054</v>
      </c>
      <c r="F54" s="1">
        <f t="shared" si="6"/>
        <v>53.35658238884046</v>
      </c>
      <c r="G54" s="1">
        <f t="shared" si="4"/>
        <v>23.208191126279864</v>
      </c>
      <c r="H54" s="1">
        <f t="shared" si="7"/>
        <v>53.5</v>
      </c>
      <c r="I54" s="1">
        <f t="shared" si="5"/>
        <v>202.5</v>
      </c>
    </row>
    <row r="55" spans="1:9" ht="18">
      <c r="A55" s="29" t="s">
        <v>0</v>
      </c>
      <c r="B55" s="49">
        <v>390.5</v>
      </c>
      <c r="C55" s="50">
        <f>709.9+0.6</f>
        <v>710.5</v>
      </c>
      <c r="D55" s="51">
        <f>1.1+7.6+5.9+0.3+0.2+6.8+0.3+67.1+16.4-0.1+19.5+19.3+76.2+4.5+12.1+86.4+1+0.1+7.3+44.6</f>
        <v>376.6000000000001</v>
      </c>
      <c r="E55" s="1">
        <f>D55/D51*100</f>
        <v>7.7464209313806185</v>
      </c>
      <c r="F55" s="1">
        <f t="shared" si="6"/>
        <v>96.44046094750323</v>
      </c>
      <c r="G55" s="1">
        <f t="shared" si="4"/>
        <v>53.00492610837439</v>
      </c>
      <c r="H55" s="1">
        <f t="shared" si="7"/>
        <v>13.89999999999992</v>
      </c>
      <c r="I55" s="1">
        <f t="shared" si="5"/>
        <v>333.8999999999999</v>
      </c>
    </row>
    <row r="56" spans="1:9" ht="18.75" thickBot="1">
      <c r="A56" s="29" t="s">
        <v>35</v>
      </c>
      <c r="B56" s="50">
        <f>B51-B52-B55-B54-B53</f>
        <v>2306.5</v>
      </c>
      <c r="C56" s="50">
        <f>C51-C52-C55-C54-C53</f>
        <v>4493.500000000001</v>
      </c>
      <c r="D56" s="50">
        <f>D51-D52-D55-D54-D53</f>
        <v>1489.8999999999996</v>
      </c>
      <c r="E56" s="1">
        <f>D56/D51*100</f>
        <v>30.64628928747737</v>
      </c>
      <c r="F56" s="1">
        <f t="shared" si="6"/>
        <v>64.59570778235421</v>
      </c>
      <c r="G56" s="1">
        <f t="shared" si="4"/>
        <v>33.15678201847111</v>
      </c>
      <c r="H56" s="1">
        <f t="shared" si="7"/>
        <v>816.6000000000004</v>
      </c>
      <c r="I56" s="1">
        <f>C56-D56</f>
        <v>3003.6000000000013</v>
      </c>
    </row>
    <row r="57" spans="1:9" s="44" customFormat="1" ht="19.5" hidden="1" thickBot="1">
      <c r="A57" s="108" t="s">
        <v>86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f>2361.6+44</f>
        <v>2405.6</v>
      </c>
      <c r="C58" s="53">
        <f>3033.3+2447.7+44</f>
        <v>5525</v>
      </c>
      <c r="D58" s="54">
        <f>36.1+65.6+6.5+0.4+1.3+60.3+3+39.2+0.1+14.1+69.1+5.2-0.1+1.8+81+43+6.1+66+42.4+63.1+71.4+46.8+10.3</f>
        <v>732.6999999999998</v>
      </c>
      <c r="E58" s="3">
        <f>D58/D144*100</f>
        <v>0.22539573455414738</v>
      </c>
      <c r="F58" s="3">
        <f>D58/B58*100</f>
        <v>30.45809777186564</v>
      </c>
      <c r="G58" s="3">
        <f t="shared" si="4"/>
        <v>13.261538461538457</v>
      </c>
      <c r="H58" s="3">
        <f>B58-D58</f>
        <v>1672.9</v>
      </c>
      <c r="I58" s="3">
        <f t="shared" si="5"/>
        <v>4792.3</v>
      </c>
    </row>
    <row r="59" spans="1:9" ht="18">
      <c r="A59" s="29" t="s">
        <v>3</v>
      </c>
      <c r="B59" s="49">
        <v>573.8</v>
      </c>
      <c r="C59" s="50">
        <v>1426.1</v>
      </c>
      <c r="D59" s="51">
        <f>36.1+65.6+39.2+69.1+1.8+43+66+41.2+71.4+46.8</f>
        <v>480.2</v>
      </c>
      <c r="E59" s="1">
        <f>D59/D58*100</f>
        <v>65.53841954415178</v>
      </c>
      <c r="F59" s="1">
        <f t="shared" si="6"/>
        <v>83.68769606134542</v>
      </c>
      <c r="G59" s="1">
        <f t="shared" si="4"/>
        <v>33.672252997685995</v>
      </c>
      <c r="H59" s="1">
        <f t="shared" si="7"/>
        <v>93.59999999999997</v>
      </c>
      <c r="I59" s="1">
        <f t="shared" si="5"/>
        <v>945.8999999999999</v>
      </c>
    </row>
    <row r="60" spans="1:9" ht="18" hidden="1">
      <c r="A60" s="29" t="s">
        <v>1</v>
      </c>
      <c r="B60" s="49"/>
      <c r="C60" s="50"/>
      <c r="D60" s="51"/>
      <c r="E60" s="1">
        <f>D60/D58*100</f>
        <v>0</v>
      </c>
      <c r="F60" s="116" t="e">
        <f t="shared" si="6"/>
        <v>#DIV/0!</v>
      </c>
      <c r="G60" s="1" t="e">
        <f t="shared" si="4"/>
        <v>#DIV/0!</v>
      </c>
      <c r="H60" s="1">
        <f t="shared" si="7"/>
        <v>0</v>
      </c>
      <c r="I60" s="1">
        <f t="shared" si="5"/>
        <v>0</v>
      </c>
    </row>
    <row r="61" spans="1:9" ht="18">
      <c r="A61" s="29" t="s">
        <v>0</v>
      </c>
      <c r="B61" s="49">
        <f>237+44</f>
        <v>281</v>
      </c>
      <c r="C61" s="50">
        <f>420.8+44</f>
        <v>464.8</v>
      </c>
      <c r="D61" s="51">
        <f>1.3+56.1+4.9+63.5+3.5+0.7+63-0.1+10.3</f>
        <v>203.20000000000002</v>
      </c>
      <c r="E61" s="1">
        <f>D61/D58*100</f>
        <v>27.7330421727856</v>
      </c>
      <c r="F61" s="1">
        <f t="shared" si="6"/>
        <v>72.31316725978648</v>
      </c>
      <c r="G61" s="1">
        <f t="shared" si="4"/>
        <v>43.71772805507745</v>
      </c>
      <c r="H61" s="1">
        <f t="shared" si="7"/>
        <v>77.79999999999998</v>
      </c>
      <c r="I61" s="1">
        <f t="shared" si="5"/>
        <v>261.6</v>
      </c>
    </row>
    <row r="62" spans="1:9" ht="18">
      <c r="A62" s="29" t="s">
        <v>15</v>
      </c>
      <c r="B62" s="49">
        <v>1400</v>
      </c>
      <c r="C62" s="50">
        <f>728.9+2400</f>
        <v>3128.9</v>
      </c>
      <c r="D62" s="51"/>
      <c r="E62" s="1">
        <f>D62/D58*100</f>
        <v>0</v>
      </c>
      <c r="F62" s="116">
        <f t="shared" si="6"/>
        <v>0</v>
      </c>
      <c r="G62" s="1">
        <f t="shared" si="4"/>
        <v>0</v>
      </c>
      <c r="H62" s="1">
        <f t="shared" si="7"/>
        <v>1400</v>
      </c>
      <c r="I62" s="1">
        <f t="shared" si="5"/>
        <v>3128.9</v>
      </c>
    </row>
    <row r="63" spans="1:9" ht="18.75" thickBot="1">
      <c r="A63" s="29" t="s">
        <v>35</v>
      </c>
      <c r="B63" s="50">
        <f>B58-B59-B61-B62-B60</f>
        <v>150.79999999999995</v>
      </c>
      <c r="C63" s="50">
        <f>C58-C59-C61-C62-C60</f>
        <v>505.19999999999936</v>
      </c>
      <c r="D63" s="50">
        <f>D58-D59-D61-D62-D60</f>
        <v>49.29999999999981</v>
      </c>
      <c r="E63" s="1">
        <f>D63/D58*100</f>
        <v>6.728538283062621</v>
      </c>
      <c r="F63" s="1">
        <f t="shared" si="6"/>
        <v>32.69230769230758</v>
      </c>
      <c r="G63" s="1">
        <f t="shared" si="4"/>
        <v>9.758511480601717</v>
      </c>
      <c r="H63" s="1">
        <f t="shared" si="7"/>
        <v>101.50000000000014</v>
      </c>
      <c r="I63" s="1">
        <f t="shared" si="5"/>
        <v>455.8999999999995</v>
      </c>
    </row>
    <row r="64" spans="1:9" s="44" customFormat="1" ht="19.5" hidden="1" thickBot="1">
      <c r="A64" s="108" t="s">
        <v>97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83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84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85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253.7</v>
      </c>
      <c r="C68" s="53">
        <f>C69+C70</f>
        <v>450.20000000000005</v>
      </c>
      <c r="D68" s="54">
        <f>SUM(D69:D70)</f>
        <v>202.6</v>
      </c>
      <c r="E68" s="42">
        <f>D68/D144*100</f>
        <v>0.06232452002275184</v>
      </c>
      <c r="F68" s="111">
        <f>D68/B68*100</f>
        <v>79.8581001182499</v>
      </c>
      <c r="G68" s="3">
        <f t="shared" si="4"/>
        <v>45.00222123500666</v>
      </c>
      <c r="H68" s="3">
        <f>B68-D68</f>
        <v>51.099999999999994</v>
      </c>
      <c r="I68" s="3">
        <f t="shared" si="5"/>
        <v>247.60000000000005</v>
      </c>
    </row>
    <row r="69" spans="1:9" ht="18">
      <c r="A69" s="29" t="s">
        <v>8</v>
      </c>
      <c r="B69" s="49">
        <v>221.5</v>
      </c>
      <c r="C69" s="50">
        <v>250.3</v>
      </c>
      <c r="D69" s="51">
        <f>0.2+12.6+73.3+85.8+22+1.3</f>
        <v>195.2</v>
      </c>
      <c r="E69" s="1">
        <f>D69/D68*100</f>
        <v>96.34748272458044</v>
      </c>
      <c r="F69" s="1">
        <f t="shared" si="6"/>
        <v>88.12641083521444</v>
      </c>
      <c r="G69" s="1">
        <f t="shared" si="4"/>
        <v>77.98641630043946</v>
      </c>
      <c r="H69" s="1">
        <f t="shared" si="7"/>
        <v>26.30000000000001</v>
      </c>
      <c r="I69" s="1">
        <f t="shared" si="5"/>
        <v>55.10000000000002</v>
      </c>
    </row>
    <row r="70" spans="1:9" ht="18.75" thickBot="1">
      <c r="A70" s="29" t="s">
        <v>9</v>
      </c>
      <c r="B70" s="49">
        <f>75.1-42.9</f>
        <v>32.199999999999996</v>
      </c>
      <c r="C70" s="50">
        <f>242.8-42.9</f>
        <v>199.9</v>
      </c>
      <c r="D70" s="51">
        <f>7.4</f>
        <v>7.4</v>
      </c>
      <c r="E70" s="1">
        <f>D70/D69*100</f>
        <v>3.790983606557378</v>
      </c>
      <c r="F70" s="1">
        <f t="shared" si="6"/>
        <v>22.981366459627335</v>
      </c>
      <c r="G70" s="1">
        <f t="shared" si="4"/>
        <v>3.7018509254627316</v>
      </c>
      <c r="H70" s="1">
        <f t="shared" si="7"/>
        <v>24.799999999999997</v>
      </c>
      <c r="I70" s="1">
        <f t="shared" si="5"/>
        <v>192.5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D71/D144*100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f>2219.9-2219.9</f>
        <v>0</v>
      </c>
      <c r="C76" s="69">
        <f>10000-6127.8-2982.3</f>
        <v>889.8999999999996</v>
      </c>
      <c r="D76" s="70"/>
      <c r="E76" s="48"/>
      <c r="F76" s="48"/>
      <c r="G76" s="48"/>
      <c r="H76" s="48">
        <f>B76-D76</f>
        <v>0</v>
      </c>
      <c r="I76" s="48">
        <f t="shared" si="5"/>
        <v>889.8999999999996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D78/D144*100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D83/D144*100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D86/D144*100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20891.5+2.3</f>
        <v>20893.8</v>
      </c>
      <c r="C89" s="53">
        <f>47925.9+539.6+110+168.6</f>
        <v>48744.1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</f>
        <v>16471.499999999996</v>
      </c>
      <c r="E89" s="3">
        <f>D89/D144*100</f>
        <v>5.067020392669085</v>
      </c>
      <c r="F89" s="3">
        <f aca="true" t="shared" si="10" ref="F89:F95">D89/B89*100</f>
        <v>78.83439106337764</v>
      </c>
      <c r="G89" s="3">
        <f t="shared" si="8"/>
        <v>33.7917819797678</v>
      </c>
      <c r="H89" s="3">
        <f aca="true" t="shared" si="11" ref="H89:H95">B89-D89</f>
        <v>4422.300000000003</v>
      </c>
      <c r="I89" s="3">
        <f t="shared" si="9"/>
        <v>32272.600000000002</v>
      </c>
    </row>
    <row r="90" spans="1:9" ht="18">
      <c r="A90" s="29" t="s">
        <v>3</v>
      </c>
      <c r="B90" s="49">
        <v>16637.5</v>
      </c>
      <c r="C90" s="50">
        <v>39638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</f>
        <v>14212.200000000003</v>
      </c>
      <c r="E90" s="1">
        <f>D90/D89*100</f>
        <v>86.28358073035245</v>
      </c>
      <c r="F90" s="1">
        <f t="shared" si="10"/>
        <v>85.42268970698724</v>
      </c>
      <c r="G90" s="1">
        <f t="shared" si="8"/>
        <v>35.85498763812504</v>
      </c>
      <c r="H90" s="1">
        <f t="shared" si="11"/>
        <v>2425.2999999999975</v>
      </c>
      <c r="I90" s="1">
        <f t="shared" si="9"/>
        <v>25425.799999999996</v>
      </c>
    </row>
    <row r="91" spans="1:9" ht="18">
      <c r="A91" s="29" t="s">
        <v>33</v>
      </c>
      <c r="B91" s="49">
        <f>1259.4+2.3</f>
        <v>1261.7</v>
      </c>
      <c r="C91" s="50">
        <f>2406.5+168.6</f>
        <v>2575.1</v>
      </c>
      <c r="D91" s="51">
        <f>15.4+0.6+1.6+3.7+2.5+4.3+0.4+4.2+0.8+56.6+102.4+16.1+0.1+47.1+38.8+64+59.3+87.7+34.7+0.6+1.8+42.3+4.4</f>
        <v>589.3999999999999</v>
      </c>
      <c r="E91" s="1">
        <f>D91/D89*100</f>
        <v>3.5783019154296816</v>
      </c>
      <c r="F91" s="1">
        <f t="shared" si="10"/>
        <v>46.71474994055637</v>
      </c>
      <c r="G91" s="1">
        <f t="shared" si="8"/>
        <v>22.888431517222628</v>
      </c>
      <c r="H91" s="1">
        <f t="shared" si="11"/>
        <v>672.3000000000002</v>
      </c>
      <c r="I91" s="1">
        <f t="shared" si="9"/>
        <v>1985.7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35</v>
      </c>
      <c r="B93" s="50">
        <f>B89-B90-B91-B92</f>
        <v>2994.5999999999995</v>
      </c>
      <c r="C93" s="50">
        <f>C89-C90-C91-C92</f>
        <v>6530.999999999998</v>
      </c>
      <c r="D93" s="50">
        <f>D89-D90-D91-D92</f>
        <v>1669.899999999994</v>
      </c>
      <c r="E93" s="1">
        <f>D93/D89*100</f>
        <v>10.138117354217858</v>
      </c>
      <c r="F93" s="1">
        <f t="shared" si="10"/>
        <v>55.763708007747084</v>
      </c>
      <c r="G93" s="1">
        <f>D93/C93*100</f>
        <v>25.568825600979856</v>
      </c>
      <c r="H93" s="1">
        <f t="shared" si="11"/>
        <v>1324.7000000000055</v>
      </c>
      <c r="I93" s="1">
        <f>C93-D93</f>
        <v>4861.100000000004</v>
      </c>
    </row>
    <row r="94" spans="1:9" ht="18.75">
      <c r="A94" s="122" t="s">
        <v>12</v>
      </c>
      <c r="B94" s="127">
        <v>23665.6</v>
      </c>
      <c r="C94" s="129">
        <f>48638.3+1900-424</f>
        <v>50114.3</v>
      </c>
      <c r="D94" s="128">
        <f>3479.6+8.1+4.1+53.2+1101.8+1997.1+228.6+3048.1+0.1+314.6+1021.4+1907+2.5+299.7+94.1+2183.5+8+2623.6+342.3+2.2+8.5+1.3+1.6+10.6+34.2+57.7+70.3+17.2+208.3+74.7+207.6+2728.6+200.9+23.9+266.8</f>
        <v>22631.8</v>
      </c>
      <c r="E94" s="121">
        <f>D94/D144*100</f>
        <v>6.962073406964044</v>
      </c>
      <c r="F94" s="125">
        <f t="shared" si="10"/>
        <v>95.63163410181868</v>
      </c>
      <c r="G94" s="120">
        <f>D94/C94*100</f>
        <v>45.16036340924646</v>
      </c>
      <c r="H94" s="126">
        <f t="shared" si="11"/>
        <v>1033.7999999999993</v>
      </c>
      <c r="I94" s="121">
        <f>C94-D94</f>
        <v>27482.500000000004</v>
      </c>
    </row>
    <row r="95" spans="1:9" ht="18.75" thickBot="1">
      <c r="A95" s="123" t="s">
        <v>110</v>
      </c>
      <c r="B95" s="130">
        <v>1956</v>
      </c>
      <c r="C95" s="131">
        <v>4853.7</v>
      </c>
      <c r="D95" s="132">
        <f>600+69+9+48.5+2.5+299.7+50.5+190.4+1.3+10.6+6.7+53.3-0.1+0.9+266.8</f>
        <v>1609.1000000000001</v>
      </c>
      <c r="E95" s="133">
        <f>D95/D94*100</f>
        <v>7.109907298579874</v>
      </c>
      <c r="F95" s="134">
        <f t="shared" si="10"/>
        <v>82.26482617586913</v>
      </c>
      <c r="G95" s="135">
        <f>D95/C95*100</f>
        <v>33.152028349506566</v>
      </c>
      <c r="H95" s="124">
        <f t="shared" si="11"/>
        <v>346.89999999999986</v>
      </c>
      <c r="I95" s="96">
        <f>C95-D95</f>
        <v>3244.5999999999995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46</v>
      </c>
      <c r="B97" s="75"/>
      <c r="C97" s="76"/>
      <c r="D97" s="77"/>
      <c r="E97" s="3">
        <f>D97/D144*100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D99/D144*100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f>3619.8+6.5</f>
        <v>3626.3</v>
      </c>
      <c r="C101" s="104">
        <f>6061.2+4589.8-16.4-3.1</f>
        <v>10631.5</v>
      </c>
      <c r="D101" s="90">
        <f>110.5+80.7+66.2+55.7+33+106.8+21.7+2.2+3.9+0.4+5.9+27.7+127.6+1.1+13.8+50.2+3.3+23.2+111+21.4+3.2+5.8+132.8+36.6+20.9+0.1+13.6+84.8+20.8+33.6+130.7+63.1+21.1+62.1+181.2+8.2+6+105.4</f>
        <v>1796.2999999999995</v>
      </c>
      <c r="E101" s="25">
        <f>D101/D144*100</f>
        <v>0.5525840834988603</v>
      </c>
      <c r="F101" s="25">
        <f>D101/B101*100</f>
        <v>49.53533905082313</v>
      </c>
      <c r="G101" s="25">
        <f aca="true" t="shared" si="12" ref="G101:G142">D101/C101*100</f>
        <v>16.89601655457837</v>
      </c>
      <c r="H101" s="25">
        <f aca="true" t="shared" si="13" ref="H101:H106">B101-D101</f>
        <v>1830.0000000000007</v>
      </c>
      <c r="I101" s="25">
        <f aca="true" t="shared" si="14" ref="I101:I142">C101-D101</f>
        <v>8835.2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f>3266.8+6.5</f>
        <v>3273.3</v>
      </c>
      <c r="C103" s="51">
        <f>5036.9+4586-16.4-3.1</f>
        <v>9603.4</v>
      </c>
      <c r="D103" s="51">
        <f>110.3+80.7+66.2+32.9+19.7+106.6+21.7+3.9+5.8+27.6+127.6+1.1+0.1+13.7+10.7+3.3+110.8+21.4+3.1+2+132.8+20.9+0.1+78+20.6+33.3+130.5+62.7+21+24.6+165.3+8.1+5.9+105.3</f>
        <v>1578.3</v>
      </c>
      <c r="E103" s="1">
        <f>D103/D101*100</f>
        <v>87.86394254857208</v>
      </c>
      <c r="F103" s="1">
        <f aca="true" t="shared" si="15" ref="F103:F142">D103/B103*100</f>
        <v>48.21739528915773</v>
      </c>
      <c r="G103" s="1">
        <f t="shared" si="12"/>
        <v>16.43480434012954</v>
      </c>
      <c r="H103" s="1">
        <f t="shared" si="13"/>
        <v>1695.0000000000002</v>
      </c>
      <c r="I103" s="1">
        <f t="shared" si="14"/>
        <v>8025.099999999999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353</v>
      </c>
      <c r="C105" s="100">
        <f>C101-C102-C103</f>
        <v>1028.1000000000004</v>
      </c>
      <c r="D105" s="100">
        <f>D101-D102-D103</f>
        <v>217.99999999999955</v>
      </c>
      <c r="E105" s="96">
        <f>D105/D101*100</f>
        <v>12.136057451427913</v>
      </c>
      <c r="F105" s="96">
        <f t="shared" si="15"/>
        <v>61.756373937676926</v>
      </c>
      <c r="G105" s="96">
        <f t="shared" si="12"/>
        <v>21.20416301916151</v>
      </c>
      <c r="H105" s="96">
        <f>B105-D105</f>
        <v>135.00000000000045</v>
      </c>
      <c r="I105" s="96">
        <f t="shared" si="14"/>
        <v>810.1000000000008</v>
      </c>
    </row>
    <row r="106" spans="1:9" s="2" customFormat="1" ht="26.25" customHeight="1" thickBot="1">
      <c r="A106" s="92" t="s">
        <v>36</v>
      </c>
      <c r="B106" s="93">
        <f>SUM(B107:B141)-B114-B118+B142-B134-B135-B108-B111-B121-B122-B132</f>
        <v>70557.1</v>
      </c>
      <c r="C106" s="93">
        <f>SUM(C107:C141)-C114-C118+C142-C134-C135-C108-C111-C121-C122-C132</f>
        <v>149613.8</v>
      </c>
      <c r="D106" s="93">
        <f>SUM(D107:D141)-D114-D118+D142-D134-D135-D108-D111-D121-D122-D132</f>
        <v>59464.6</v>
      </c>
      <c r="E106" s="94">
        <f>D106/D144*100</f>
        <v>18.29270806191969</v>
      </c>
      <c r="F106" s="94">
        <f>D106/B106*100</f>
        <v>84.27869059244215</v>
      </c>
      <c r="G106" s="94">
        <f t="shared" si="12"/>
        <v>39.745397817581</v>
      </c>
      <c r="H106" s="94">
        <f t="shared" si="13"/>
        <v>11092.500000000007</v>
      </c>
      <c r="I106" s="94">
        <f t="shared" si="14"/>
        <v>90149.19999999998</v>
      </c>
    </row>
    <row r="107" spans="1:9" ht="37.5">
      <c r="A107" s="34" t="s">
        <v>67</v>
      </c>
      <c r="B107" s="78">
        <v>948.9</v>
      </c>
      <c r="C107" s="74">
        <f>1662.5+137.3</f>
        <v>1799.8</v>
      </c>
      <c r="D107" s="79">
        <f>114.2+9+1.8-0.1+90.7+22.4+38.1+76.9+3.3+8.3+1.4+33.8+39+2.5+0.1+67.3+0.2+4+0.9+2.5+0.8+0.4+3.1+0.1+83.9+1.4+0.8</f>
        <v>606.8</v>
      </c>
      <c r="E107" s="6">
        <f>D107/D106*100</f>
        <v>1.0204390511329429</v>
      </c>
      <c r="F107" s="6">
        <f t="shared" si="15"/>
        <v>63.94772894930972</v>
      </c>
      <c r="G107" s="6">
        <f t="shared" si="12"/>
        <v>33.71485720635626</v>
      </c>
      <c r="H107" s="6">
        <f aca="true" t="shared" si="16" ref="H107:H142">B107-D107</f>
        <v>342.1</v>
      </c>
      <c r="I107" s="6">
        <f t="shared" si="14"/>
        <v>1193</v>
      </c>
    </row>
    <row r="108" spans="1:9" ht="18">
      <c r="A108" s="29" t="s">
        <v>33</v>
      </c>
      <c r="B108" s="81">
        <v>428.8</v>
      </c>
      <c r="C108" s="51">
        <v>823.7</v>
      </c>
      <c r="D108" s="82">
        <f>96.8+90.7+64.1+48.5+58.1</f>
        <v>358.20000000000005</v>
      </c>
      <c r="E108" s="1"/>
      <c r="F108" s="1">
        <f t="shared" si="15"/>
        <v>83.53544776119404</v>
      </c>
      <c r="G108" s="1">
        <f t="shared" si="12"/>
        <v>43.48670632511838</v>
      </c>
      <c r="H108" s="1">
        <f t="shared" si="16"/>
        <v>70.59999999999997</v>
      </c>
      <c r="I108" s="1">
        <f t="shared" si="14"/>
        <v>465.5</v>
      </c>
    </row>
    <row r="109" spans="1:9" ht="34.5" customHeight="1">
      <c r="A109" s="17" t="s">
        <v>100</v>
      </c>
      <c r="B109" s="80">
        <v>392.1</v>
      </c>
      <c r="C109" s="68">
        <v>903.8</v>
      </c>
      <c r="D109" s="79">
        <f>20.7+31.6+0.1+27.7-0.1+31.4</f>
        <v>111.4</v>
      </c>
      <c r="E109" s="6">
        <f>D109/D106*100</f>
        <v>0.18733834920271894</v>
      </c>
      <c r="F109" s="6">
        <f>D109/B109*100</f>
        <v>28.41111961234379</v>
      </c>
      <c r="G109" s="6">
        <f t="shared" si="12"/>
        <v>12.32573578225271</v>
      </c>
      <c r="H109" s="6">
        <f t="shared" si="16"/>
        <v>280.70000000000005</v>
      </c>
      <c r="I109" s="6">
        <f t="shared" si="14"/>
        <v>792.4</v>
      </c>
    </row>
    <row r="110" spans="1:9" s="44" customFormat="1" ht="34.5" customHeight="1">
      <c r="A110" s="17" t="s">
        <v>75</v>
      </c>
      <c r="B110" s="80">
        <v>45.3</v>
      </c>
      <c r="C110" s="60">
        <f>71.8+12.8</f>
        <v>84.6</v>
      </c>
      <c r="D110" s="83">
        <f>5.3+5.3+0.5+1.7+6</f>
        <v>18.799999999999997</v>
      </c>
      <c r="E110" s="6">
        <f>D110/D106*100</f>
        <v>0.03161544851895077</v>
      </c>
      <c r="F110" s="6">
        <f t="shared" si="15"/>
        <v>41.50110375275938</v>
      </c>
      <c r="G110" s="6">
        <f t="shared" si="12"/>
        <v>22.22222222222222</v>
      </c>
      <c r="H110" s="6">
        <f t="shared" si="16"/>
        <v>26.5</v>
      </c>
      <c r="I110" s="6">
        <f t="shared" si="14"/>
        <v>65.8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28</v>
      </c>
      <c r="C112" s="68">
        <v>67.4</v>
      </c>
      <c r="D112" s="79">
        <f>5.5+5.4+5.5+5.5</f>
        <v>21.9</v>
      </c>
      <c r="E112" s="6">
        <f>D112/D106*100</f>
        <v>0.03682863417899052</v>
      </c>
      <c r="F112" s="6">
        <f t="shared" si="15"/>
        <v>78.21428571428571</v>
      </c>
      <c r="G112" s="6">
        <f t="shared" si="12"/>
        <v>32.49258160237388</v>
      </c>
      <c r="H112" s="6">
        <f t="shared" si="16"/>
        <v>6.100000000000001</v>
      </c>
      <c r="I112" s="6">
        <f t="shared" si="14"/>
        <v>45.50000000000001</v>
      </c>
    </row>
    <row r="113" spans="1:9" ht="37.5">
      <c r="A113" s="17" t="s">
        <v>47</v>
      </c>
      <c r="B113" s="80">
        <v>693.5</v>
      </c>
      <c r="C113" s="68">
        <v>1532.5</v>
      </c>
      <c r="D113" s="79">
        <f>96.4+0.6+6.3+86+10.4+21.5+5.3+0.1+11.6+102.1+10.6+3.5+5.6+100.7+13.3+0.9</f>
        <v>474.90000000000003</v>
      </c>
      <c r="E113" s="6">
        <f>D113/D106*100</f>
        <v>0.7986264096622193</v>
      </c>
      <c r="F113" s="6">
        <f t="shared" si="15"/>
        <v>68.478731074261</v>
      </c>
      <c r="G113" s="6">
        <f t="shared" si="12"/>
        <v>30.988580750407834</v>
      </c>
      <c r="H113" s="6">
        <f t="shared" si="16"/>
        <v>218.59999999999997</v>
      </c>
      <c r="I113" s="6">
        <f t="shared" si="14"/>
        <v>1057.6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0.06054022056820361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196.7</v>
      </c>
      <c r="C116" s="68">
        <v>245.2</v>
      </c>
      <c r="D116" s="79">
        <f>19.1</f>
        <v>19.1</v>
      </c>
      <c r="E116" s="6">
        <f>D116/D106*100</f>
        <v>0.03211995035701914</v>
      </c>
      <c r="F116" s="6">
        <f>D116/B116*100</f>
        <v>9.710218607015761</v>
      </c>
      <c r="G116" s="6">
        <f t="shared" si="12"/>
        <v>7.789559543230016</v>
      </c>
      <c r="H116" s="6">
        <f t="shared" si="16"/>
        <v>177.6</v>
      </c>
      <c r="I116" s="6">
        <f t="shared" si="14"/>
        <v>226.1</v>
      </c>
    </row>
    <row r="117" spans="1:9" s="2" customFormat="1" ht="18.75">
      <c r="A117" s="17" t="s">
        <v>16</v>
      </c>
      <c r="B117" s="80">
        <v>109.6</v>
      </c>
      <c r="C117" s="60">
        <f>199.6+4.8</f>
        <v>204.4</v>
      </c>
      <c r="D117" s="79">
        <f>1.6+18.3+17.8+0.8+2.2+4+0.6+16.7+3.7+3.6+16.7+3.4</f>
        <v>89.4</v>
      </c>
      <c r="E117" s="6">
        <f>D117/D106*100</f>
        <v>0.1503415477443723</v>
      </c>
      <c r="F117" s="6">
        <f t="shared" si="15"/>
        <v>81.56934306569345</v>
      </c>
      <c r="G117" s="6">
        <f t="shared" si="12"/>
        <v>43.737769080234834</v>
      </c>
      <c r="H117" s="6">
        <f t="shared" si="16"/>
        <v>20.19999999999999</v>
      </c>
      <c r="I117" s="6">
        <f t="shared" si="14"/>
        <v>115</v>
      </c>
    </row>
    <row r="118" spans="1:9" s="39" customFormat="1" ht="18">
      <c r="A118" s="40" t="s">
        <v>54</v>
      </c>
      <c r="B118" s="81">
        <v>83.6</v>
      </c>
      <c r="C118" s="51">
        <v>150.8</v>
      </c>
      <c r="D118" s="82">
        <f>16.7+16.7+16.7+16.7</f>
        <v>66.8</v>
      </c>
      <c r="E118" s="1"/>
      <c r="F118" s="1">
        <f t="shared" si="15"/>
        <v>79.9043062200957</v>
      </c>
      <c r="G118" s="1">
        <f t="shared" si="12"/>
        <v>44.29708222811671</v>
      </c>
      <c r="H118" s="1">
        <f t="shared" si="16"/>
        <v>16.799999999999997</v>
      </c>
      <c r="I118" s="1">
        <f t="shared" si="14"/>
        <v>84.00000000000001</v>
      </c>
    </row>
    <row r="119" spans="1:9" s="2" customFormat="1" ht="18.75">
      <c r="A119" s="17" t="s">
        <v>25</v>
      </c>
      <c r="B119" s="80">
        <v>964.6</v>
      </c>
      <c r="C119" s="60">
        <f>1468.8+249.6</f>
        <v>1718.3999999999999</v>
      </c>
      <c r="D119" s="79">
        <f>249.6</f>
        <v>249.6</v>
      </c>
      <c r="E119" s="6">
        <f>D119/D106*100</f>
        <v>0.41974552927287834</v>
      </c>
      <c r="F119" s="6">
        <f t="shared" si="15"/>
        <v>25.87601078167116</v>
      </c>
      <c r="G119" s="6">
        <f t="shared" si="12"/>
        <v>14.52513966480447</v>
      </c>
      <c r="H119" s="6">
        <f t="shared" si="16"/>
        <v>715</v>
      </c>
      <c r="I119" s="6">
        <f t="shared" si="14"/>
        <v>1468.8</v>
      </c>
    </row>
    <row r="120" spans="1:9" s="2" customFormat="1" ht="21.75" customHeight="1">
      <c r="A120" s="17" t="s">
        <v>45</v>
      </c>
      <c r="B120" s="80">
        <v>1251</v>
      </c>
      <c r="C120" s="60">
        <f>628+70+553</f>
        <v>1251</v>
      </c>
      <c r="D120" s="83">
        <f>110.6</f>
        <v>110.6</v>
      </c>
      <c r="E120" s="19">
        <f>D120/D106*100</f>
        <v>0.18599301096786997</v>
      </c>
      <c r="F120" s="6">
        <f t="shared" si="15"/>
        <v>8.840927258193444</v>
      </c>
      <c r="G120" s="6">
        <f t="shared" si="12"/>
        <v>8.840927258193444</v>
      </c>
      <c r="H120" s="6">
        <f t="shared" si="16"/>
        <v>1140.4</v>
      </c>
      <c r="I120" s="6">
        <f t="shared" si="14"/>
        <v>1140.4</v>
      </c>
    </row>
    <row r="121" spans="1:9" s="115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5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795.1</v>
      </c>
      <c r="C123" s="60">
        <v>2933.8</v>
      </c>
      <c r="D123" s="83">
        <f>21+0.9+174.2+5+11.4</f>
        <v>212.5</v>
      </c>
      <c r="E123" s="19">
        <f>D123/D106*100</f>
        <v>0.3573554686317574</v>
      </c>
      <c r="F123" s="6">
        <f t="shared" si="15"/>
        <v>26.726197962520438</v>
      </c>
      <c r="G123" s="6">
        <f t="shared" si="12"/>
        <v>7.243165859976822</v>
      </c>
      <c r="H123" s="6">
        <f t="shared" si="16"/>
        <v>582.6</v>
      </c>
      <c r="I123" s="6">
        <f t="shared" si="14"/>
        <v>2721.3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0.21844929588360132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0.003363345587122423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113</v>
      </c>
      <c r="B126" s="80">
        <v>332.3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332.3</v>
      </c>
      <c r="I126" s="6">
        <f t="shared" si="14"/>
        <v>332.3</v>
      </c>
    </row>
    <row r="127" spans="1:9" s="2" customFormat="1" ht="37.5">
      <c r="A127" s="17" t="s">
        <v>78</v>
      </c>
      <c r="B127" s="80">
        <v>94.6</v>
      </c>
      <c r="C127" s="60">
        <f>101.4+27.9</f>
        <v>129.3</v>
      </c>
      <c r="D127" s="83">
        <f>3+3+4.9+21.9-0.1+12.2+1.6+6.9+7.8+0.7+8.4+2.4</f>
        <v>72.7</v>
      </c>
      <c r="E127" s="19">
        <f>D127/D106*100</f>
        <v>0.12225761209190007</v>
      </c>
      <c r="F127" s="6">
        <f t="shared" si="15"/>
        <v>76.84989429175477</v>
      </c>
      <c r="G127" s="6">
        <f t="shared" si="12"/>
        <v>56.22583139984532</v>
      </c>
      <c r="H127" s="6">
        <f t="shared" si="16"/>
        <v>21.89999999999999</v>
      </c>
      <c r="I127" s="6">
        <f t="shared" si="14"/>
        <v>56.60000000000001</v>
      </c>
    </row>
    <row r="128" spans="1:9" s="2" customFormat="1" ht="18.75">
      <c r="A128" s="17" t="s">
        <v>72</v>
      </c>
      <c r="B128" s="80">
        <v>236.7</v>
      </c>
      <c r="C128" s="60">
        <v>650</v>
      </c>
      <c r="D128" s="83">
        <f>8.7+23.6+6.2+5.1+38.5+4.6+4.8+8.6</f>
        <v>100.09999999999998</v>
      </c>
      <c r="E128" s="19">
        <f>D128/D106*100</f>
        <v>0.1683354466354772</v>
      </c>
      <c r="F128" s="6">
        <f t="shared" si="15"/>
        <v>42.28981833544571</v>
      </c>
      <c r="G128" s="6">
        <f t="shared" si="12"/>
        <v>15.399999999999997</v>
      </c>
      <c r="H128" s="6">
        <f t="shared" si="16"/>
        <v>136.60000000000002</v>
      </c>
      <c r="I128" s="6">
        <f t="shared" si="14"/>
        <v>549.9</v>
      </c>
    </row>
    <row r="129" spans="1:9" s="2" customFormat="1" ht="35.25" customHeight="1">
      <c r="A129" s="17" t="s">
        <v>71</v>
      </c>
      <c r="B129" s="80">
        <v>46.7</v>
      </c>
      <c r="C129" s="60">
        <f>171.5+14.8-110</f>
        <v>76.30000000000001</v>
      </c>
      <c r="D129" s="83">
        <f>5.6+5.6+3.5+1.3+1.8</f>
        <v>17.8</v>
      </c>
      <c r="E129" s="19">
        <f>D129/D106*100</f>
        <v>0.02993377572538956</v>
      </c>
      <c r="F129" s="6">
        <f t="shared" si="15"/>
        <v>38.11563169164882</v>
      </c>
      <c r="G129" s="6">
        <f t="shared" si="12"/>
        <v>23.32896461336828</v>
      </c>
      <c r="H129" s="6">
        <f t="shared" si="16"/>
        <v>28.900000000000002</v>
      </c>
      <c r="I129" s="6">
        <f t="shared" si="14"/>
        <v>58.500000000000014</v>
      </c>
    </row>
    <row r="130" spans="1:9" s="2" customFormat="1" ht="35.25" customHeight="1">
      <c r="A130" s="17" t="s">
        <v>73</v>
      </c>
      <c r="B130" s="80">
        <v>0</v>
      </c>
      <c r="C130" s="60">
        <v>220</v>
      </c>
      <c r="D130" s="83"/>
      <c r="E130" s="19">
        <f>D130/D106*100</f>
        <v>0</v>
      </c>
      <c r="F130" s="117" t="e">
        <f t="shared" si="15"/>
        <v>#DIV/0!</v>
      </c>
      <c r="G130" s="6">
        <f t="shared" si="12"/>
        <v>0</v>
      </c>
      <c r="H130" s="6">
        <f t="shared" si="16"/>
        <v>0</v>
      </c>
      <c r="I130" s="6">
        <f t="shared" si="14"/>
        <v>220</v>
      </c>
    </row>
    <row r="131" spans="1:9" s="2" customFormat="1" ht="37.5">
      <c r="A131" s="17" t="s">
        <v>112</v>
      </c>
      <c r="B131" s="80">
        <v>265.1</v>
      </c>
      <c r="C131" s="60">
        <v>265.1</v>
      </c>
      <c r="D131" s="83">
        <f>59.9+7.6</f>
        <v>67.5</v>
      </c>
      <c r="E131" s="19">
        <f>D131/D106*100</f>
        <v>0.11351291356538175</v>
      </c>
      <c r="F131" s="6">
        <f t="shared" si="15"/>
        <v>25.462089777442472</v>
      </c>
      <c r="G131" s="6">
        <f>D131/C131*100</f>
        <v>25.462089777442472</v>
      </c>
      <c r="H131" s="6">
        <f t="shared" si="16"/>
        <v>197.60000000000002</v>
      </c>
      <c r="I131" s="6">
        <f t="shared" si="14"/>
        <v>197.60000000000002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>
        <f>7.6</f>
        <v>7.6</v>
      </c>
      <c r="E132" s="1"/>
      <c r="F132" s="1">
        <f t="shared" si="15"/>
        <v>11.838006230529594</v>
      </c>
      <c r="G132" s="1">
        <f>D132/C132*100</f>
        <v>11.838006230529594</v>
      </c>
      <c r="H132" s="1">
        <f t="shared" si="16"/>
        <v>56.6</v>
      </c>
      <c r="I132" s="1">
        <f t="shared" si="14"/>
        <v>56.6</v>
      </c>
    </row>
    <row r="133" spans="1:9" s="2" customFormat="1" ht="18.75">
      <c r="A133" s="17" t="s">
        <v>32</v>
      </c>
      <c r="B133" s="80">
        <v>406.9</v>
      </c>
      <c r="C133" s="60">
        <f>981.9+3.8</f>
        <v>985.6999999999999</v>
      </c>
      <c r="D133" s="83">
        <f>21.9+41.8+0.1+6.1+26+3.6+0.1+41-0.1+21.3+6.2+7.1+43.4+4.5+8.8+48.5+7.5+32.1+0.1+41.9</f>
        <v>361.9</v>
      </c>
      <c r="E133" s="19">
        <f>D133/D106*100</f>
        <v>0.6085973839898023</v>
      </c>
      <c r="F133" s="6">
        <f t="shared" si="15"/>
        <v>88.94077168837552</v>
      </c>
      <c r="G133" s="6">
        <f t="shared" si="12"/>
        <v>36.71502485543269</v>
      </c>
      <c r="H133" s="6">
        <f t="shared" si="16"/>
        <v>45</v>
      </c>
      <c r="I133" s="6">
        <f t="shared" si="14"/>
        <v>623.8</v>
      </c>
    </row>
    <row r="134" spans="1:9" s="39" customFormat="1" ht="18">
      <c r="A134" s="40" t="s">
        <v>54</v>
      </c>
      <c r="B134" s="81">
        <v>335.2</v>
      </c>
      <c r="C134" s="51">
        <v>848.7</v>
      </c>
      <c r="D134" s="82">
        <f>21.9+39.7+0.1+6.1+19+41-0.1+21.3+43.3+8.5+32.3+32.1+41.5</f>
        <v>306.70000000000005</v>
      </c>
      <c r="E134" s="1">
        <f>D134/D133*100</f>
        <v>84.74716772589115</v>
      </c>
      <c r="F134" s="1">
        <f aca="true" t="shared" si="17" ref="F134:F141">D134/B134*100</f>
        <v>91.49761336515515</v>
      </c>
      <c r="G134" s="1">
        <f t="shared" si="12"/>
        <v>36.137622245787675</v>
      </c>
      <c r="H134" s="1">
        <f t="shared" si="16"/>
        <v>28.499999999999943</v>
      </c>
      <c r="I134" s="1">
        <f t="shared" si="14"/>
        <v>542</v>
      </c>
    </row>
    <row r="135" spans="1:9" s="39" customFormat="1" ht="18">
      <c r="A135" s="29" t="s">
        <v>33</v>
      </c>
      <c r="B135" s="81">
        <v>21.2</v>
      </c>
      <c r="C135" s="51">
        <v>26.3</v>
      </c>
      <c r="D135" s="82">
        <f>7+6+0.2+7.1+0.1+0.4</f>
        <v>20.799999999999997</v>
      </c>
      <c r="E135" s="1">
        <f>D135/D133*100</f>
        <v>5.747444045316385</v>
      </c>
      <c r="F135" s="1">
        <f t="shared" si="17"/>
        <v>98.11320754716981</v>
      </c>
      <c r="G135" s="1">
        <f>D135/C135*100</f>
        <v>79.08745247148288</v>
      </c>
      <c r="H135" s="1">
        <f t="shared" si="16"/>
        <v>0.40000000000000213</v>
      </c>
      <c r="I135" s="1">
        <f t="shared" si="14"/>
        <v>5.5000000000000036</v>
      </c>
    </row>
    <row r="136" spans="1:9" s="2" customFormat="1" ht="56.25">
      <c r="A136" s="23" t="s">
        <v>114</v>
      </c>
      <c r="B136" s="80">
        <v>200</v>
      </c>
      <c r="C136" s="60">
        <v>200</v>
      </c>
      <c r="D136" s="83"/>
      <c r="E136" s="19">
        <f>D136/D106*100</f>
        <v>0</v>
      </c>
      <c r="F136" s="112">
        <f t="shared" si="17"/>
        <v>0</v>
      </c>
      <c r="G136" s="6">
        <f t="shared" si="12"/>
        <v>0</v>
      </c>
      <c r="H136" s="6">
        <f t="shared" si="16"/>
        <v>200</v>
      </c>
      <c r="I136" s="6">
        <f t="shared" si="14"/>
        <v>200</v>
      </c>
    </row>
    <row r="137" spans="1:9" s="2" customFormat="1" ht="18.75">
      <c r="A137" s="23" t="s">
        <v>109</v>
      </c>
      <c r="B137" s="80">
        <f>2800-1300</f>
        <v>1500</v>
      </c>
      <c r="C137" s="60">
        <f>6500-2076</f>
        <v>4424</v>
      </c>
      <c r="D137" s="83">
        <f>241.3</f>
        <v>241.3</v>
      </c>
      <c r="E137" s="19">
        <f>D137/D106*100</f>
        <v>0.40578764508632026</v>
      </c>
      <c r="F137" s="112">
        <f t="shared" si="17"/>
        <v>16.08666666666667</v>
      </c>
      <c r="G137" s="6">
        <f t="shared" si="12"/>
        <v>5.454339963833635</v>
      </c>
      <c r="H137" s="6">
        <f t="shared" si="16"/>
        <v>1258.7</v>
      </c>
      <c r="I137" s="6">
        <f t="shared" si="14"/>
        <v>4182.7</v>
      </c>
    </row>
    <row r="138" spans="1:9" s="2" customFormat="1" ht="18.75">
      <c r="A138" s="23" t="s">
        <v>111</v>
      </c>
      <c r="B138" s="80">
        <v>2994.5</v>
      </c>
      <c r="C138" s="60">
        <v>6082.6</v>
      </c>
      <c r="D138" s="83">
        <f>626.1+43.8+40.3+236+112.9</f>
        <v>1059.1</v>
      </c>
      <c r="E138" s="19">
        <f>D138/D106*100</f>
        <v>1.7810596556606786</v>
      </c>
      <c r="F138" s="112">
        <f t="shared" si="17"/>
        <v>35.36817498747703</v>
      </c>
      <c r="G138" s="6">
        <f t="shared" si="12"/>
        <v>17.41196198993851</v>
      </c>
      <c r="H138" s="6">
        <f t="shared" si="16"/>
        <v>1935.4</v>
      </c>
      <c r="I138" s="6">
        <f t="shared" si="14"/>
        <v>5023.5</v>
      </c>
    </row>
    <row r="139" spans="1:9" s="2" customFormat="1" ht="18.75">
      <c r="A139" s="17" t="s">
        <v>27</v>
      </c>
      <c r="B139" s="80">
        <v>4188</v>
      </c>
      <c r="C139" s="60">
        <v>8376</v>
      </c>
      <c r="D139" s="83">
        <f>2094+2094</f>
        <v>4188</v>
      </c>
      <c r="E139" s="19">
        <f>D139/D106*100</f>
        <v>7.042845659434353</v>
      </c>
      <c r="F139" s="112">
        <f t="shared" si="17"/>
        <v>100</v>
      </c>
      <c r="G139" s="6">
        <f t="shared" si="12"/>
        <v>50</v>
      </c>
      <c r="H139" s="6">
        <f t="shared" si="16"/>
        <v>0</v>
      </c>
      <c r="I139" s="6">
        <f t="shared" si="14"/>
        <v>4188</v>
      </c>
    </row>
    <row r="140" spans="1:12" s="2" customFormat="1" ht="18.75" customHeight="1">
      <c r="A140" s="17" t="s">
        <v>99</v>
      </c>
      <c r="B140" s="80">
        <v>538.2</v>
      </c>
      <c r="C140" s="60">
        <v>538.2</v>
      </c>
      <c r="D140" s="83">
        <f>507.8+15.4+15</f>
        <v>538.2</v>
      </c>
      <c r="E140" s="19">
        <f>D140/D106*100</f>
        <v>0.905076297494644</v>
      </c>
      <c r="F140" s="112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  <c r="K140" s="45"/>
      <c r="L140" s="45"/>
    </row>
    <row r="141" spans="1:12" s="2" customFormat="1" ht="19.5" customHeight="1">
      <c r="A141" s="17" t="s">
        <v>65</v>
      </c>
      <c r="B141" s="80">
        <f>43569.3+1315.6</f>
        <v>44884.9</v>
      </c>
      <c r="C141" s="60">
        <f>91632.1+2530</f>
        <v>94162.1</v>
      </c>
      <c r="D141" s="83">
        <f>500.9+20883.8+13804+7506.8</f>
        <v>42695.5</v>
      </c>
      <c r="E141" s="19">
        <f>D141/D106*100</f>
        <v>71.7998607574927</v>
      </c>
      <c r="F141" s="6">
        <f t="shared" si="17"/>
        <v>95.12219031344617</v>
      </c>
      <c r="G141" s="6">
        <f t="shared" si="12"/>
        <v>45.34255289548555</v>
      </c>
      <c r="H141" s="6">
        <f t="shared" si="16"/>
        <v>2189.4000000000015</v>
      </c>
      <c r="I141" s="6">
        <f t="shared" si="14"/>
        <v>51466.600000000006</v>
      </c>
      <c r="K141" s="103"/>
      <c r="L141" s="45"/>
    </row>
    <row r="142" spans="1:12" s="2" customFormat="1" ht="18.75">
      <c r="A142" s="17" t="s">
        <v>103</v>
      </c>
      <c r="B142" s="80">
        <v>9276.5</v>
      </c>
      <c r="C142" s="60">
        <v>22263.4</v>
      </c>
      <c r="D142" s="83">
        <f>1236.9+618.4+618.4+618.4+618.5+618.4+618.4+618.5+618.4+618.4+618.5+618.4</f>
        <v>8039.5999999999985</v>
      </c>
      <c r="E142" s="19">
        <f>D142/D106*100</f>
        <v>13.51997659111471</v>
      </c>
      <c r="F142" s="6">
        <f t="shared" si="15"/>
        <v>86.66630733574084</v>
      </c>
      <c r="G142" s="6">
        <f t="shared" si="12"/>
        <v>36.11128578743587</v>
      </c>
      <c r="H142" s="6">
        <f t="shared" si="16"/>
        <v>1236.9000000000015</v>
      </c>
      <c r="I142" s="6">
        <f t="shared" si="14"/>
        <v>14223.800000000003</v>
      </c>
      <c r="K142" s="45"/>
      <c r="L142" s="45"/>
    </row>
    <row r="143" spans="1:12" s="2" customFormat="1" ht="19.5" thickBot="1">
      <c r="A143" s="41" t="s">
        <v>37</v>
      </c>
      <c r="B143" s="84">
        <f>B43+B68+B71+B76+B78+B86+B101+B106+B99+B83+B97</f>
        <v>74801.5</v>
      </c>
      <c r="C143" s="84">
        <f>C43+C68+C71+C76+C78+C86+C101+C106+C99+C83+C97</f>
        <v>162401.3</v>
      </c>
      <c r="D143" s="60">
        <f>D43+D68+D71+D76+D78+D86+D101+D106+D99+D83+D97</f>
        <v>61690.899999999994</v>
      </c>
      <c r="E143" s="19"/>
      <c r="F143" s="19"/>
      <c r="G143" s="6"/>
      <c r="H143" s="6"/>
      <c r="I143" s="20"/>
      <c r="K143" s="45"/>
      <c r="L143" s="45"/>
    </row>
    <row r="144" spans="1:12" ht="19.5" thickBot="1">
      <c r="A144" s="14" t="s">
        <v>19</v>
      </c>
      <c r="B144" s="54">
        <f>B6+B18+B33+B43+B51+B58+B68+B71+B76+B78+B86+B89+B94+B101+B106+B99+B83+B97+B45</f>
        <v>381260.39999999997</v>
      </c>
      <c r="C144" s="54">
        <f>C6+C18+C33+C43+C51+C58+C68+C71+C76+C78+C86+C89+C94+C101+C106+C99+C83+C97+C45</f>
        <v>896182.7000000001</v>
      </c>
      <c r="D144" s="54">
        <f>D6+D18+D33+D43+D51+D58+D68+D71+D76+D78+D86+D89+D94+D101+D106+D99+D83+D97+D45</f>
        <v>325072.69999999995</v>
      </c>
      <c r="E144" s="38">
        <v>100</v>
      </c>
      <c r="F144" s="3">
        <f>D144/B144*100</f>
        <v>85.2626446386774</v>
      </c>
      <c r="G144" s="3">
        <f aca="true" t="shared" si="18" ref="G144:G150">D144/C144*100</f>
        <v>36.27303896850496</v>
      </c>
      <c r="H144" s="3">
        <f aca="true" t="shared" si="19" ref="H144:H150">B144-D144</f>
        <v>56187.70000000001</v>
      </c>
      <c r="I144" s="3">
        <f aca="true" t="shared" si="20" ref="I144:I150">C144-D144</f>
        <v>571110.0000000001</v>
      </c>
      <c r="K144" s="46"/>
      <c r="L144" s="47"/>
    </row>
    <row r="145" spans="1:12" ht="18.75">
      <c r="A145" s="23" t="s">
        <v>5</v>
      </c>
      <c r="B145" s="67">
        <f>B8+B20+B34+B52+B59+B90+B114+B118+B46+B134</f>
        <v>202126.7</v>
      </c>
      <c r="C145" s="67">
        <f>C8+C20+C34+C52+C59+C90+C114+C118+C46+C134</f>
        <v>507335.6</v>
      </c>
      <c r="D145" s="67">
        <f>D8+D20+D34+D52+D59+D90+D114+D118+D46+D134</f>
        <v>177537.80000000002</v>
      </c>
      <c r="E145" s="6">
        <f>D145/D144*100</f>
        <v>54.61479847431053</v>
      </c>
      <c r="F145" s="6">
        <f aca="true" t="shared" si="21" ref="F145:F156">D145/B145*100</f>
        <v>87.83490751098198</v>
      </c>
      <c r="G145" s="6">
        <f t="shared" si="18"/>
        <v>34.994153771192096</v>
      </c>
      <c r="H145" s="6">
        <f t="shared" si="19"/>
        <v>24588.899999999994</v>
      </c>
      <c r="I145" s="18">
        <f t="shared" si="20"/>
        <v>329797.79999999993</v>
      </c>
      <c r="K145" s="46"/>
      <c r="L145" s="47"/>
    </row>
    <row r="146" spans="1:12" ht="18.75">
      <c r="A146" s="23" t="s">
        <v>0</v>
      </c>
      <c r="B146" s="68">
        <f>B11+B23+B36+B55+B61+B91+B49+B135+B108+B111+B95+B132</f>
        <v>49704.999999999985</v>
      </c>
      <c r="C146" s="68">
        <f>C11+C23+C36+C55+C61+C91+C49+C135+C108+C111+C95+C132</f>
        <v>99330.7</v>
      </c>
      <c r="D146" s="68">
        <f>D11+D23+D36+D55+D61+D91+D49+D135+D108+D111+D95+D132</f>
        <v>41958.49999999999</v>
      </c>
      <c r="E146" s="6">
        <f>D146/D144*100</f>
        <v>12.907420401651692</v>
      </c>
      <c r="F146" s="6">
        <f t="shared" si="21"/>
        <v>84.4150487878483</v>
      </c>
      <c r="G146" s="6">
        <f t="shared" si="18"/>
        <v>42.24122048873107</v>
      </c>
      <c r="H146" s="6">
        <f t="shared" si="19"/>
        <v>7746.499999999993</v>
      </c>
      <c r="I146" s="18">
        <f t="shared" si="20"/>
        <v>57372.200000000004</v>
      </c>
      <c r="K146" s="46"/>
      <c r="L146" s="102"/>
    </row>
    <row r="147" spans="1:12" ht="18.75">
      <c r="A147" s="23" t="s">
        <v>1</v>
      </c>
      <c r="B147" s="67">
        <f>B22+B10+B54+B48+B60+B35+B102+B122</f>
        <v>10466.400000000001</v>
      </c>
      <c r="C147" s="67">
        <f>C22+C10+C54+C48+C60+C35+C102+C122</f>
        <v>25686.8</v>
      </c>
      <c r="D147" s="67">
        <f>D22+D10+D54+D48+D60+D35+D102+D122</f>
        <v>8274.6</v>
      </c>
      <c r="E147" s="6">
        <f>D147/D144*100</f>
        <v>2.5454613691029735</v>
      </c>
      <c r="F147" s="6">
        <f t="shared" si="21"/>
        <v>79.0587021325384</v>
      </c>
      <c r="G147" s="6">
        <f t="shared" si="18"/>
        <v>32.2134325801579</v>
      </c>
      <c r="H147" s="6">
        <f t="shared" si="19"/>
        <v>2191.800000000001</v>
      </c>
      <c r="I147" s="18">
        <f t="shared" si="20"/>
        <v>17412.199999999997</v>
      </c>
      <c r="K147" s="46"/>
      <c r="L147" s="47"/>
    </row>
    <row r="148" spans="1:12" ht="21" customHeight="1">
      <c r="A148" s="23" t="s">
        <v>15</v>
      </c>
      <c r="B148" s="67">
        <f>B12+B24+B103+B62+B38+B92</f>
        <v>5491</v>
      </c>
      <c r="C148" s="67">
        <f>C12+C24+C103+C62+C38+C92</f>
        <v>14593.8</v>
      </c>
      <c r="D148" s="67">
        <f>D12+D24+D103+D62+D38+D92</f>
        <v>2160.2999999999997</v>
      </c>
      <c r="E148" s="6">
        <f>D148/D144*100</f>
        <v>0.6645590355634293</v>
      </c>
      <c r="F148" s="6">
        <f t="shared" si="21"/>
        <v>39.34256055363321</v>
      </c>
      <c r="G148" s="6">
        <f t="shared" si="18"/>
        <v>14.802861489125519</v>
      </c>
      <c r="H148" s="6">
        <f t="shared" si="19"/>
        <v>3330.7000000000003</v>
      </c>
      <c r="I148" s="18">
        <f t="shared" si="20"/>
        <v>12433.5</v>
      </c>
      <c r="K148" s="46"/>
      <c r="L148" s="102"/>
    </row>
    <row r="149" spans="1:12" ht="18.75">
      <c r="A149" s="23" t="s">
        <v>2</v>
      </c>
      <c r="B149" s="67">
        <f>B9+B21+B47+B53+B121</f>
        <v>3829.1</v>
      </c>
      <c r="C149" s="67">
        <f>C9+C21+C47+C53+C121</f>
        <v>12618.400000000001</v>
      </c>
      <c r="D149" s="67">
        <f>D9+D21+D47+D53+D121</f>
        <v>2438.4999999999995</v>
      </c>
      <c r="E149" s="6">
        <f>D149/D144*100</f>
        <v>0.750139891784207</v>
      </c>
      <c r="F149" s="6">
        <f t="shared" si="21"/>
        <v>63.6833720717662</v>
      </c>
      <c r="G149" s="6">
        <f t="shared" si="18"/>
        <v>19.324954035376905</v>
      </c>
      <c r="H149" s="6">
        <f t="shared" si="19"/>
        <v>1390.6000000000004</v>
      </c>
      <c r="I149" s="18">
        <f t="shared" si="20"/>
        <v>10179.900000000001</v>
      </c>
      <c r="K149" s="46"/>
      <c r="L149" s="47"/>
    </row>
    <row r="150" spans="1:12" ht="19.5" thickBot="1">
      <c r="A150" s="23" t="s">
        <v>35</v>
      </c>
      <c r="B150" s="67">
        <f>B144-B145-B146-B147-B148-B149</f>
        <v>109642.19999999995</v>
      </c>
      <c r="C150" s="67">
        <f>C144-C145-C146-C147-C148-C149</f>
        <v>236617.4000000001</v>
      </c>
      <c r="D150" s="67">
        <f>D144-D145-D146-D147-D148-D149</f>
        <v>92702.99999999993</v>
      </c>
      <c r="E150" s="6">
        <f>D150/D144*100</f>
        <v>28.517620827587166</v>
      </c>
      <c r="F150" s="6">
        <f t="shared" si="21"/>
        <v>84.55047417873772</v>
      </c>
      <c r="G150" s="43">
        <f t="shared" si="18"/>
        <v>39.17843742683331</v>
      </c>
      <c r="H150" s="6">
        <f t="shared" si="19"/>
        <v>16939.200000000026</v>
      </c>
      <c r="I150" s="6">
        <f t="shared" si="20"/>
        <v>143914.4000000002</v>
      </c>
      <c r="K150" s="46"/>
      <c r="L150" s="102"/>
    </row>
    <row r="151" spans="1:12" ht="5.25" customHeight="1" thickBot="1">
      <c r="A151" s="35"/>
      <c r="B151" s="85"/>
      <c r="C151" s="86"/>
      <c r="D151" s="86"/>
      <c r="E151" s="21"/>
      <c r="F151" s="21"/>
      <c r="G151" s="21"/>
      <c r="H151" s="21"/>
      <c r="I151" s="22"/>
      <c r="K151" s="46"/>
      <c r="L151" s="46"/>
    </row>
    <row r="152" spans="1:12" ht="18.75">
      <c r="A152" s="32" t="s">
        <v>21</v>
      </c>
      <c r="B152" s="87">
        <f>3301.9+496+2284.6</f>
        <v>6082.5</v>
      </c>
      <c r="C152" s="73">
        <f>3301.9+496+14356.4</f>
        <v>18154.3</v>
      </c>
      <c r="D152" s="73">
        <f>288.1+1522.4+951.8+530.2+8.8+0.5+0.1+495.9</f>
        <v>3797.8</v>
      </c>
      <c r="E152" s="15"/>
      <c r="F152" s="6">
        <f t="shared" si="21"/>
        <v>62.43814221126181</v>
      </c>
      <c r="G152" s="6">
        <f aca="true" t="shared" si="22" ref="G152:G161">D152/C152*100</f>
        <v>20.919561756718796</v>
      </c>
      <c r="H152" s="6">
        <f>B152-D152</f>
        <v>2284.7</v>
      </c>
      <c r="I152" s="6">
        <f aca="true" t="shared" si="23" ref="I152:I161">C152-D152</f>
        <v>14356.5</v>
      </c>
      <c r="K152" s="46"/>
      <c r="L152" s="46"/>
    </row>
    <row r="153" spans="1:12" ht="18.75">
      <c r="A153" s="23" t="s">
        <v>22</v>
      </c>
      <c r="B153" s="88">
        <f>1942.8</f>
        <v>1942.8</v>
      </c>
      <c r="C153" s="67">
        <f>16860.5</f>
        <v>16860.5</v>
      </c>
      <c r="D153" s="67"/>
      <c r="E153" s="6"/>
      <c r="F153" s="6">
        <f t="shared" si="21"/>
        <v>0</v>
      </c>
      <c r="G153" s="6">
        <f t="shared" si="22"/>
        <v>0</v>
      </c>
      <c r="H153" s="6">
        <f aca="true" t="shared" si="24" ref="H153:H160">B153-D153</f>
        <v>1942.8</v>
      </c>
      <c r="I153" s="6">
        <f t="shared" si="23"/>
        <v>16860.5</v>
      </c>
      <c r="K153" s="46"/>
      <c r="L153" s="46"/>
    </row>
    <row r="154" spans="1:12" ht="18.75">
      <c r="A154" s="23" t="s">
        <v>61</v>
      </c>
      <c r="B154" s="88">
        <f>54197.2+1300+15.6+8940.2</f>
        <v>64453</v>
      </c>
      <c r="C154" s="67">
        <f>105956.2+2530+90940.4</f>
        <v>199426.59999999998</v>
      </c>
      <c r="D154" s="67">
        <f>72+2507+500.9+784.3+577.6+1236.9+2501.8+375+180.7+310.2-4.2+554.9+23.5+182.4+693.6-182.4</f>
        <v>10314.2</v>
      </c>
      <c r="E154" s="6"/>
      <c r="F154" s="6">
        <f t="shared" si="21"/>
        <v>16.002668611236096</v>
      </c>
      <c r="G154" s="6">
        <f t="shared" si="22"/>
        <v>5.171927917339012</v>
      </c>
      <c r="H154" s="6">
        <f t="shared" si="24"/>
        <v>54138.8</v>
      </c>
      <c r="I154" s="6">
        <f t="shared" si="23"/>
        <v>189112.39999999997</v>
      </c>
      <c r="K154" s="46"/>
      <c r="L154" s="46"/>
    </row>
    <row r="155" spans="1:12" ht="37.5">
      <c r="A155" s="23" t="s">
        <v>70</v>
      </c>
      <c r="B155" s="88">
        <v>309.4</v>
      </c>
      <c r="C155" s="67">
        <v>509.4</v>
      </c>
      <c r="D155" s="67"/>
      <c r="E155" s="6"/>
      <c r="F155" s="6">
        <f t="shared" si="21"/>
        <v>0</v>
      </c>
      <c r="G155" s="6">
        <f t="shared" si="22"/>
        <v>0</v>
      </c>
      <c r="H155" s="6">
        <f t="shared" si="24"/>
        <v>309.4</v>
      </c>
      <c r="I155" s="6">
        <f t="shared" si="23"/>
        <v>509.4</v>
      </c>
      <c r="K155" s="46"/>
      <c r="L155" s="46"/>
    </row>
    <row r="156" spans="1:12" ht="18.75">
      <c r="A156" s="23" t="s">
        <v>13</v>
      </c>
      <c r="B156" s="88">
        <v>1321</v>
      </c>
      <c r="C156" s="67">
        <f>54+13623.4</f>
        <v>13677.4</v>
      </c>
      <c r="D156" s="67">
        <f>5.2+5.1+225.1</f>
        <v>235.4</v>
      </c>
      <c r="E156" s="19"/>
      <c r="F156" s="6">
        <f t="shared" si="21"/>
        <v>17.81983345950038</v>
      </c>
      <c r="G156" s="6">
        <f t="shared" si="22"/>
        <v>1.7210873411613319</v>
      </c>
      <c r="H156" s="6">
        <f t="shared" si="24"/>
        <v>1085.6</v>
      </c>
      <c r="I156" s="6">
        <f t="shared" si="23"/>
        <v>13442</v>
      </c>
      <c r="K156" s="46"/>
      <c r="L156" s="46"/>
    </row>
    <row r="157" spans="1:12" ht="18.75" hidden="1">
      <c r="A157" s="23" t="s">
        <v>26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  <c r="K157" s="46"/>
      <c r="L157" s="46"/>
    </row>
    <row r="158" spans="1:9" ht="18.75">
      <c r="A158" s="23" t="s">
        <v>53</v>
      </c>
      <c r="B158" s="88">
        <v>593.6</v>
      </c>
      <c r="C158" s="67">
        <f>1212+158.6</f>
        <v>1370.6</v>
      </c>
      <c r="D158" s="67">
        <f>15.4</f>
        <v>15.4</v>
      </c>
      <c r="E158" s="19"/>
      <c r="F158" s="6">
        <f>D158/B158*100</f>
        <v>2.5943396226415096</v>
      </c>
      <c r="G158" s="6">
        <f t="shared" si="22"/>
        <v>1.1235955056179776</v>
      </c>
      <c r="H158" s="6">
        <f t="shared" si="24"/>
        <v>578.2</v>
      </c>
      <c r="I158" s="6">
        <f t="shared" si="23"/>
        <v>1355.1999999999998</v>
      </c>
    </row>
    <row r="159" spans="1:9" ht="19.5" customHeight="1">
      <c r="A159" s="23" t="s">
        <v>68</v>
      </c>
      <c r="B159" s="88">
        <v>307.6</v>
      </c>
      <c r="C159" s="67">
        <v>307.6</v>
      </c>
      <c r="D159" s="67"/>
      <c r="E159" s="19"/>
      <c r="F159" s="6">
        <f>D159/B159*100</f>
        <v>0</v>
      </c>
      <c r="G159" s="6">
        <f t="shared" si="22"/>
        <v>0</v>
      </c>
      <c r="H159" s="6">
        <f t="shared" si="24"/>
        <v>307.6</v>
      </c>
      <c r="I159" s="6">
        <f t="shared" si="23"/>
        <v>307.6</v>
      </c>
    </row>
    <row r="160" spans="1:9" ht="19.5" thickBot="1">
      <c r="A160" s="23" t="s">
        <v>62</v>
      </c>
      <c r="B160" s="88">
        <v>2650</v>
      </c>
      <c r="C160" s="89">
        <v>3718.8</v>
      </c>
      <c r="D160" s="89">
        <f>98.8+11.3+146.1+110.9-0.1+10.1</f>
        <v>377.1</v>
      </c>
      <c r="E160" s="24"/>
      <c r="F160" s="6">
        <f>D160/B160*100</f>
        <v>14.230188679245284</v>
      </c>
      <c r="G160" s="6">
        <f t="shared" si="22"/>
        <v>10.140367860600193</v>
      </c>
      <c r="H160" s="6">
        <f t="shared" si="24"/>
        <v>2272.9</v>
      </c>
      <c r="I160" s="6">
        <f t="shared" si="23"/>
        <v>3341.7000000000003</v>
      </c>
    </row>
    <row r="161" spans="1:9" ht="19.5" thickBot="1">
      <c r="A161" s="14" t="s">
        <v>20</v>
      </c>
      <c r="B161" s="90">
        <f>B144+B152+B156+B157+B153+B160+B159+B154+B158+B155</f>
        <v>458920.29999999993</v>
      </c>
      <c r="C161" s="90">
        <f>C144+C152+C156+C157+C153+C160+C159+C154+C158+C155</f>
        <v>1150207.9000000001</v>
      </c>
      <c r="D161" s="90">
        <f>D144+D152+D156+D157+D153+D160+D159+D154+D158+D155</f>
        <v>339812.6</v>
      </c>
      <c r="E161" s="25"/>
      <c r="F161" s="3">
        <f>D161/B161*100</f>
        <v>74.04610343015989</v>
      </c>
      <c r="G161" s="3">
        <f t="shared" si="22"/>
        <v>29.543580773527978</v>
      </c>
      <c r="H161" s="3">
        <f>B161-D161</f>
        <v>119107.69999999995</v>
      </c>
      <c r="I161" s="3">
        <f t="shared" si="23"/>
        <v>810395.3000000002</v>
      </c>
    </row>
    <row r="162" spans="7:8" ht="12.75">
      <c r="G162" s="26"/>
      <c r="H162" s="26"/>
    </row>
    <row r="163" spans="7:9" ht="12.75">
      <c r="G163" s="26"/>
      <c r="H163" s="26"/>
      <c r="I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S19" sqref="S19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325072.69999999995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G47" sqref="G4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M36" sqref="M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5" sqref="Q25: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4" sqref="Q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1" sqref="Q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325072.69999999995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2015-04-30T09:48:06Z</cp:lastPrinted>
  <dcterms:created xsi:type="dcterms:W3CDTF">2000-06-20T04:48:00Z</dcterms:created>
  <dcterms:modified xsi:type="dcterms:W3CDTF">2015-05-18T05:07:34Z</dcterms:modified>
  <cp:category/>
  <cp:version/>
  <cp:contentType/>
  <cp:contentStatus/>
</cp:coreProperties>
</file>